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charts/chart34.xml" ContentType="application/vnd.openxmlformats-officedocument.drawingml.chart+xml"/>
  <Override PartName="/xl/charts/chart52.xml" ContentType="application/vnd.openxmlformats-officedocument.drawingml.chart+xml"/>
  <Override PartName="/xl/charts/chart33.xml" ContentType="application/vnd.openxmlformats-officedocument.drawingml.chart+xml"/>
  <Override PartName="/xl/charts/style13.xml" ContentType="application/vnd.ms-office.chartstyle+xml"/>
  <Override PartName="/xl/charts/chart35.xml" ContentType="application/vnd.openxmlformats-officedocument.drawingml.chart+xml"/>
  <Override PartName="/xl/charts/chart7.xml" ContentType="application/vnd.openxmlformats-officedocument.drawingml.chart+xml"/>
  <Override PartName="/xl/charts/colors16.xml" ContentType="application/vnd.ms-office.chartcolorstyle+xml"/>
  <Override PartName="/xl/charts/chart8.xml" ContentType="application/vnd.openxmlformats-officedocument.drawingml.chart+xml"/>
  <Override PartName="/xl/charts/colors17.xml" ContentType="application/vnd.ms-office.chartcolorstyle+xml"/>
  <Override PartName="/xl/charts/chart50.xml" ContentType="application/vnd.openxmlformats-officedocument.drawingml.chart+xml"/>
  <Override PartName="/xl/charts/chart63.xml" ContentType="application/vnd.openxmlformats-officedocument.drawingml.chart+xml"/>
  <Override PartName="/xl/charts/chart5.xml" ContentType="application/vnd.openxmlformats-officedocument.drawingml.chart+xml"/>
  <Override PartName="/xl/charts/style38.xml" ContentType="application/vnd.ms-office.chartstyle+xml"/>
  <Override PartName="/xl/charts/style31.xml" ContentType="application/vnd.ms-office.chartstyle+xml"/>
  <Override PartName="/xl/charts/style18.xml" ContentType="application/vnd.ms-office.chartstyle+xml"/>
  <Override PartName="/xl/charts/chart51.xml" ContentType="application/vnd.openxmlformats-officedocument.drawingml.chart+xml"/>
  <Override PartName="/xl/charts/colors18.xml" ContentType="application/vnd.ms-office.chartcolorstyle+xml"/>
  <Override PartName="/xl/charts/chart6.xml" ContentType="application/vnd.openxmlformats-officedocument.drawingml.chart+xml"/>
  <Override PartName="/xl/charts/chart10.xml" ContentType="application/vnd.openxmlformats-officedocument.drawingml.chart+xml"/>
  <Override PartName="/xl/charts/style51.xml" ContentType="application/vnd.ms-office.chartstyle+xml"/>
  <Override PartName="/xl/charts/colors8.xml" ContentType="application/vnd.ms-office.chartcolorstyle+xml"/>
  <Override PartName="/xl/charts/colors56.xml" ContentType="application/vnd.ms-office.chartcolorstyle+xml"/>
  <Override PartName="/xl/charts/style2.xml" ContentType="application/vnd.ms-office.chartstyle+xml"/>
  <Override PartName="/xl/charts/style11.xml" ContentType="application/vnd.ms-office.chartstyle+xml"/>
  <Override PartName="/xl/charts/style63.xml" ContentType="application/vnd.ms-office.chartstyle+xml"/>
  <Override PartName="/xl/charts/chart12.xml" ContentType="application/vnd.openxmlformats-officedocument.drawingml.chart+xml"/>
  <Override PartName="/xl/charts/style12.xml" ContentType="application/vnd.ms-office.chartstyle+xml"/>
  <Override PartName="/xl/charts/chart14.xml" ContentType="application/vnd.openxmlformats-officedocument.drawingml.chart+xml"/>
  <Override PartName="/xl/charts/colors59.xml" ContentType="application/vnd.ms-office.chartcolorstyle+xml"/>
  <Override PartName="/xl/charts/chart2.xml" ContentType="application/vnd.openxmlformats-officedocument.drawingml.chart+xml"/>
  <Override PartName="/xl/charts/chart15.xml" ContentType="application/vnd.openxmlformats-officedocument.drawingml.chart+xml"/>
  <Override PartName="/xl/charts/chart28.xml" ContentType="application/vnd.openxmlformats-officedocument.drawingml.chart+xml"/>
  <Override PartName="/xl/charts/chart3.xml" ContentType="application/vnd.openxmlformats-officedocument.drawingml.chart+xml"/>
  <Override PartName="/xl/charts/colors15.xml" ContentType="application/vnd.ms-office.chartcolorstyle+xml"/>
  <Override PartName="/xl/charts/colors60.xml" ContentType="application/vnd.ms-office.chartcolorstyle+xml"/>
  <Override PartName="/xl/charts/chart16.xml" ContentType="application/vnd.openxmlformats-officedocument.drawingml.chart+xml"/>
  <Override PartName="/xl/charts/colors11.xml" ContentType="application/vnd.ms-office.chartcolorstyle+xml"/>
  <Override PartName="/xl/charts/chart19.xml" ContentType="application/vnd.openxmlformats-officedocument.drawingml.chart+xml"/>
  <Override PartName="/xl/charts/chart37.xml" ContentType="application/vnd.openxmlformats-officedocument.drawingml.chart+xml"/>
  <Override PartName="/xl/charts/colors19.xml" ContentType="application/vnd.ms-office.chartcolorstyle+xml"/>
  <Override PartName="/xl/charts/colors21.xml" ContentType="application/vnd.ms-office.chartcolorstyle+xml"/>
  <Override PartName="/xl/charts/style19.xml" ContentType="application/vnd.ms-office.chartstyle+xml"/>
  <Override PartName="/xl/charts/colors22.xml" ContentType="application/vnd.ms-office.chartcolorstyle+xml"/>
  <Override PartName="/xl/charts/chart20.xml" ContentType="application/vnd.openxmlformats-officedocument.drawingml.chart+xml"/>
  <Override PartName="/xl/charts/colors1.xml" ContentType="application/vnd.ms-office.chartcolorstyl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olors3.xml" ContentType="application/vnd.ms-office.chartcolorstyle+xml"/>
  <Override PartName="/xl/charts/colors23.xml" ContentType="application/vnd.ms-office.chartcolorstyle+xml"/>
  <Override PartName="/xl/charts/colors24.xml" ContentType="application/vnd.ms-office.chartcolorstyle+xml"/>
  <Override PartName="/xl/charts/chart30.xml" ContentType="application/vnd.openxmlformats-officedocument.drawingml.chart+xml"/>
  <Override PartName="/xl/charts/chart29.xml" ContentType="application/vnd.openxmlformats-officedocument.drawingml.chart+xml"/>
  <Override PartName="/xl/charts/chart25.xml" ContentType="application/vnd.openxmlformats-officedocument.drawingml.chart+xml"/>
  <Override PartName="/xl/charts/style30.xml" ContentType="application/vnd.ms-office.chartstyle+xml"/>
  <Override PartName="/xl/charts/chart45.xml" ContentType="application/vnd.openxmlformats-officedocument.drawingml.chart+xml"/>
  <Override PartName="/xl/charts/colors6.xml" ContentType="application/vnd.ms-office.chartcolorstyle+xml"/>
  <Override PartName="/xl/charts/chart46.xml" ContentType="application/vnd.openxmlformats-officedocument.drawingml.chart+xml"/>
  <Override PartName="/xl/charts/style1.xml" ContentType="application/vnd.ms-office.chart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olors30.xml" ContentType="application/vnd.ms-office.chartcolorstyle+xml"/>
  <Override PartName="/xl/charts/colors7.xml" ContentType="application/vnd.ms-office.chartcolorstyle+xml"/>
  <Override PartName="/xl/charts/chart47.xml" ContentType="application/vnd.openxmlformats-officedocument.drawingml.chart+xml"/>
  <Override PartName="/xl/charts/colors13.xml" ContentType="application/vnd.ms-office.chartcolorstyle+xml"/>
  <Override PartName="/xl/charts/colors20.xml" ContentType="application/vnd.ms-office.chartcolorstyle+xml"/>
  <Override PartName="/xl/charts/chart36.xml" ContentType="application/vnd.openxmlformats-officedocument.drawingml.chart+xml"/>
  <Override PartName="/xl/charts/chart21.xml" ContentType="application/vnd.openxmlformats-officedocument.drawingml.chart+xml"/>
  <Override PartName="/xl/charts/colors33.xml" ContentType="application/vnd.ms-office.chartcolorstyle+xml"/>
  <Override PartName="/xl/charts/colors27.xml" ContentType="application/vnd.ms-office.chartcolorstyle+xml"/>
  <Override PartName="/xl/charts/chart38.xml" ContentType="application/vnd.openxmlformats-officedocument.drawingml.chart+xml"/>
  <Override PartName="/xl/charts/colors31.xml" ContentType="application/vnd.ms-office.chartcolorstyle+xml"/>
  <Override PartName="/xl/charts/chart48.xml" ContentType="application/vnd.openxmlformats-officedocument.drawingml.chart+xml"/>
  <Override PartName="/xl/charts/chart55.xml" ContentType="application/vnd.openxmlformats-officedocument.drawingml.chart+xml"/>
  <Override PartName="/xl/charts/colors32.xml" ContentType="application/vnd.ms-office.chartcolorstyle+xml"/>
  <Override PartName="/xl/charts/chart49.xml" ContentType="application/vnd.openxmlformats-officedocument.drawingml.chart+xml"/>
  <Override PartName="/xl/charts/colors29.xml" ContentType="application/vnd.ms-office.chartcolorstyle+xml"/>
  <Override PartName="/xl/charts/style10.xml" ContentType="application/vnd.ms-office.chartstyle+xml"/>
  <Override PartName="/xl/charts/chart57.xml" ContentType="application/vnd.openxmlformats-officedocument.drawingml.chart+xml"/>
  <Override PartName="/xl/charts/chart53.xml" ContentType="application/vnd.openxmlformats-officedocument.drawingml.chart+xml"/>
  <Override PartName="/xl/charts/style34.xml" ContentType="application/vnd.ms-office.chartstyle+xml"/>
  <Override PartName="/xl/charts/style41.xml" ContentType="application/vnd.ms-office.chartstyle+xml"/>
  <Override PartName="/xl/charts/colors5.xml" ContentType="application/vnd.ms-office.chartcolorstyle+xml"/>
  <Override PartName="/xl/charts/chart54.xml" ContentType="application/vnd.openxmlformats-officedocument.drawingml.chart+xml"/>
  <Override PartName="/xl/charts/chart32.xml" ContentType="application/vnd.openxmlformats-officedocument.drawingml.chart+xml"/>
  <Override PartName="/xl/charts/colors34.xml" ContentType="application/vnd.ms-office.chartcolorstyle+xml"/>
  <Override PartName="/xl/charts/colors61.xml" ContentType="application/vnd.ms-office.chartcolorstyle+xml"/>
  <Override PartName="/xl/charts/colors10.xml" ContentType="application/vnd.ms-office.chartcolorstyle+xml"/>
  <Override PartName="/xl/charts/colors35.xml" ContentType="application/vnd.ms-office.chartcolorstyle+xml"/>
  <Override PartName="/xl/charts/chart68.xml" ContentType="application/vnd.openxmlformats-officedocument.drawingml.chart+xml"/>
  <Override PartName="/xl/charts/colors48.xml" ContentType="application/vnd.ms-office.chartcolorstyle+xml"/>
  <Override PartName="/xl/charts/style36.xml" ContentType="application/vnd.ms-office.chartstyle+xml"/>
  <Override PartName="/xl/charts/colors40.xml" ContentType="application/vnd.ms-office.chartcolorstyle+xml"/>
  <Override PartName="/xl/charts/colors39.xml" ContentType="application/vnd.ms-office.chartcolorstyle+xml"/>
  <Override PartName="/xl/charts/chart64.xml" ContentType="application/vnd.openxmlformats-officedocument.drawingml.chart+xml"/>
  <Override PartName="/xl/charts/chart58.xml" ContentType="application/vnd.openxmlformats-officedocument.drawingml.chart+xml"/>
  <Override PartName="/xl/charts/colors51.xml" ContentType="application/vnd.ms-office.chartcolorstyle+xml"/>
  <Override PartName="/xl/charts/style39.xml" ContentType="application/vnd.ms-office.chartstyle+xml"/>
  <Override PartName="/xl/charts/colors38.xml" ContentType="application/vnd.ms-office.chartcolorstyle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24.xml" ContentType="application/vnd.openxmlformats-officedocument.drawingml.chart+xml"/>
  <Override PartName="/xl/charts/colors28.xml" ContentType="application/vnd.ms-office.chartcolorstyle+xml"/>
  <Override PartName="/xl/charts/style46.xml" ContentType="application/vnd.ms-office.chartstyle+xml"/>
  <Override PartName="/xl/charts/style42.xml" ContentType="application/vnd.ms-office.chartstyle+xml"/>
  <Override PartName="/xl/charts/chart62.xml" ContentType="application/vnd.openxmlformats-officedocument.drawingml.chart+xml"/>
  <Override PartName="/xl/charts/style43.xml" ContentType="application/vnd.ms-office.chartstyle+xml"/>
  <Override PartName="/xl/charts/style7.xml" ContentType="application/vnd.ms-office.chartstyle+xml"/>
  <Override PartName="/xl/charts/colors26.xml" ContentType="application/vnd.ms-office.chartcolorstyle+xml"/>
  <Override PartName="/xl/charts/chart26.xml" ContentType="application/vnd.openxmlformats-officedocument.drawingml.chart+xml"/>
  <Override PartName="/xl/charts/style22.xml" ContentType="application/vnd.ms-office.chartstyle+xml"/>
  <Override PartName="/xl/charts/style33.xml" ContentType="application/vnd.ms-office.chartstyle+xml"/>
  <Override PartName="/xl/charts/style61.xml" ContentType="application/vnd.ms-office.chartstyle+xml"/>
  <Override PartName="/xl/charts/style44.xml" ContentType="application/vnd.ms-office.chartstyle+xml"/>
  <Override PartName="/xl/charts/style17.xml" ContentType="application/vnd.ms-office.chartstyle+xml"/>
  <Override PartName="/xl/charts/chart44.xml" ContentType="application/vnd.openxmlformats-officedocument.drawingml.chart+xml"/>
  <Override PartName="/xl/charts/style45.xml" ContentType="application/vnd.ms-office.chartstyle+xml"/>
  <Override PartName="/xl/charts/colors2.xml" ContentType="application/vnd.ms-office.chartcolorstyle+xml"/>
  <Override PartName="/xl/charts/chart66.xml" ContentType="application/vnd.openxmlformats-officedocument.drawingml.chart+xml"/>
  <Override PartName="/xl/charts/style37.xml" ContentType="application/vnd.ms-office.chartstyle+xml"/>
  <Override PartName="/xl/charts/chart1.xml" ContentType="application/vnd.openxmlformats-officedocument.drawingml.chart+xml"/>
  <Override PartName="/xl/charts/colors46.xml" ContentType="application/vnd.ms-office.chartcolorstyle+xml"/>
  <Override PartName="/xl/charts/style47.xml" ContentType="application/vnd.ms-office.chartstyle+xml"/>
  <Override PartName="/xl/charts/style29.xml" ContentType="application/vnd.ms-office.chartstyle+xml"/>
  <Override PartName="/xl/charts/colors50.xml" ContentType="application/vnd.ms-office.chartcolorstyle+xml"/>
  <Override PartName="/xl/charts/chart9.xml" ContentType="application/vnd.openxmlformats-officedocument.drawingml.chart+xml"/>
  <Override PartName="/xl/charts/style48.xml" ContentType="application/vnd.ms-office.chartstyle+xml"/>
  <Override PartName="/xl/charts/style14.xml" ContentType="application/vnd.ms-office.chartstyle+xml"/>
  <Override PartName="/xl/charts/colors9.xml" ContentType="application/vnd.ms-office.chartcolorstyle+xml"/>
  <Override PartName="/xl/charts/style15.xml" ContentType="application/vnd.ms-office.chartstyle+xml"/>
  <Override PartName="/xl/charts/style58.xml" ContentType="application/vnd.ms-office.chartstyle+xml"/>
  <Override PartName="/xl/charts/style49.xml" ContentType="application/vnd.ms-office.chartstyle+xml"/>
  <Override PartName="/xl/charts/colors52.xml" ContentType="application/vnd.ms-office.chartcolorstyle+xml"/>
  <Override PartName="/xl/charts/colors14.xml" ContentType="application/vnd.ms-office.chartcolorstyle+xml"/>
  <Override PartName="/xl/charts/colors37.xml" ContentType="application/vnd.ms-office.chartcolorstyle+xml"/>
  <Override PartName="/xl/charts/chart42.xml" ContentType="application/vnd.openxmlformats-officedocument.drawingml.chart+xml"/>
  <Override PartName="/xl/charts/colors41.xml" ContentType="application/vnd.ms-office.chartcolorstyle+xml"/>
  <Override PartName="/xl/charts/style69.xml" ContentType="application/vnd.ms-office.chartstyle+xml"/>
  <Override PartName="/xl/charts/style16.xml" ContentType="application/vnd.ms-office.chartstyle+xml"/>
  <Override PartName="/xl/charts/colors55.xml" ContentType="application/vnd.ms-office.chartcolorstyle+xml"/>
  <Override PartName="/xl/charts/style52.xml" ContentType="application/vnd.ms-office.chartstyle+xml"/>
  <Override PartName="/xl/charts/colors44.xml" ContentType="application/vnd.ms-office.chartcolorstyle+xml"/>
  <Override PartName="/xl/charts/chart11.xml" ContentType="application/vnd.openxmlformats-officedocument.drawingml.chart+xml"/>
  <Override PartName="/xl/charts/colors49.xml" ContentType="application/vnd.ms-office.chartcolorstyle+xml"/>
  <Override PartName="/xl/charts/colors62.xml" ContentType="application/vnd.ms-office.chartcolorstyle+xml"/>
  <Override PartName="/xl/charts/style23.xml" ContentType="application/vnd.ms-office.chartstyle+xml"/>
  <Override PartName="/xl/charts/style53.xml" ContentType="application/vnd.ms-office.chartstyle+xml"/>
  <Override PartName="/xl/charts/style50.xml" ContentType="application/vnd.ms-office.chartstyle+xml"/>
  <Override PartName="/xl/charts/colors64.xml" ContentType="application/vnd.ms-office.chartcolorstyle+xml"/>
  <Override PartName="/xl/charts/chart69.xml" ContentType="application/vnd.openxmlformats-officedocument.drawingml.chart+xml"/>
  <Override PartName="/xl/charts/style54.xml" ContentType="application/vnd.ms-office.chartstyle+xml"/>
  <Override PartName="/xl/charts/colors69.xml" ContentType="application/vnd.ms-office.chartcolorstyle+xml"/>
  <Override PartName="/xl/charts/colors58.xml" ContentType="application/vnd.ms-office.chartcolorstyle+xml"/>
  <Override PartName="/xl/charts/chart17.xml" ContentType="application/vnd.openxmlformats-officedocument.drawingml.chart+xml"/>
  <Override PartName="/xl/charts/colors4.xml" ContentType="application/vnd.ms-office.chartcolorstyle+xml"/>
  <Override PartName="/xl/charts/style55.xml" ContentType="application/vnd.ms-office.chartstyle+xml"/>
  <Override PartName="/xl/charts/colors36.xml" ContentType="application/vnd.ms-office.chartcolorstyle+xml"/>
  <Override PartName="/xl/charts/colors12.xml" ContentType="application/vnd.ms-office.chartcolorstyle+xml"/>
  <Override PartName="/xl/charts/style9.xml" ContentType="application/vnd.ms-office.chartstyle+xml"/>
  <Override PartName="/xl/charts/style4.xml" ContentType="application/vnd.ms-office.chartstyle+xml"/>
  <Override PartName="/xl/charts/style68.xml" ContentType="application/vnd.ms-office.chartstyle+xml"/>
  <Override PartName="/xl/charts/colors53.xml" ContentType="application/vnd.ms-office.chartcolorstyle+xml"/>
  <Override PartName="/xl/charts/style24.xml" ContentType="application/vnd.ms-office.chartstyle+xml"/>
  <Override PartName="/xl/charts/style21.xml" ContentType="application/vnd.ms-office.chartstyle+xml"/>
  <Override PartName="/xl/charts/chart56.xml" ContentType="application/vnd.openxmlformats-officedocument.drawingml.chart+xml"/>
  <Override PartName="/xl/charts/colors57.xml" ContentType="application/vnd.ms-office.chartcolorstyle+xml"/>
  <Override PartName="/xl/charts/chart43.xml" ContentType="application/vnd.openxmlformats-officedocument.drawingml.chart+xml"/>
  <Override PartName="/xl/charts/colors67.xml" ContentType="application/vnd.ms-office.chartcolorstyle+xml"/>
  <Override PartName="/xl/charts/style6.xml" ContentType="application/vnd.ms-office.chartstyle+xml"/>
  <Override PartName="/xl/charts/style64.xml" ContentType="application/vnd.ms-office.chartstyle+xml"/>
  <Override PartName="/xl/charts/style56.xml" ContentType="application/vnd.ms-office.chartstyle+xml"/>
  <Override PartName="/xl/charts/style35.xml" ContentType="application/vnd.ms-office.chartstyle+xml"/>
  <Override PartName="/xl/charts/style26.xml" ContentType="application/vnd.ms-office.chartstyle+xml"/>
  <Override PartName="/xl/charts/colors63.xml" ContentType="application/vnd.ms-office.chartcolorstyle+xml"/>
  <Override PartName="/xl/charts/style60.xml" ContentType="application/vnd.ms-office.chartstyle+xml"/>
  <Override PartName="/xl/charts/chart13.xml" ContentType="application/vnd.openxmlformats-officedocument.drawingml.chart+xml"/>
  <Override PartName="/xl/charts/colors25.xml" ContentType="application/vnd.ms-office.chartcolorstyle+xml"/>
  <Override PartName="/xl/charts/style57.xml" ContentType="application/vnd.ms-office.chartstyle+xml"/>
  <Override PartName="/xl/charts/colors66.xml" ContentType="application/vnd.ms-office.chartcolorstyle+xml"/>
  <Override PartName="/xl/charts/style3.xml" ContentType="application/vnd.ms-office.chartstyle+xml"/>
  <Override PartName="/xl/charts/style5.xml" ContentType="application/vnd.ms-office.chartstyle+xml"/>
  <Override PartName="/xl/charts/style28.xml" ContentType="application/vnd.ms-office.chartstyle+xml"/>
  <Override PartName="/xl/charts/colors54.xml" ContentType="application/vnd.ms-office.chartcolorstyle+xml"/>
  <Override PartName="/xl/charts/style65.xml" ContentType="application/vnd.ms-office.chartstyle+xml"/>
  <Override PartName="/xl/charts/style40.xml" ContentType="application/vnd.ms-office.chartstyle+xml"/>
  <Override PartName="/xl/charts/style66.xml" ContentType="application/vnd.ms-office.chartstyle+xml"/>
  <Override PartName="/xl/charts/style20.xml" ContentType="application/vnd.ms-office.chartstyle+xml"/>
  <Override PartName="/xl/charts/style62.xml" ContentType="application/vnd.ms-office.chartstyle+xml"/>
  <Override PartName="/xl/charts/chart67.xml" ContentType="application/vnd.openxmlformats-officedocument.drawingml.chart+xml"/>
  <Override PartName="/xl/charts/colors65.xml" ContentType="application/vnd.ms-office.chartcolorstyle+xml"/>
  <Override PartName="/xl/charts/chart65.xml" ContentType="application/vnd.openxmlformats-officedocument.drawingml.chart+xml"/>
  <Override PartName="/xl/charts/colors45.xml" ContentType="application/vnd.ms-office.chartcolorstyle+xml"/>
  <Override PartName="/xl/charts/style8.xml" ContentType="application/vnd.ms-office.chartstyle+xml"/>
  <Override PartName="/xl/charts/style67.xml" ContentType="application/vnd.ms-office.chartstyle+xml"/>
  <Override PartName="/xl/charts/style27.xml" ContentType="application/vnd.ms-office.chartstyle+xml"/>
  <Override PartName="/xl/charts/style59.xml" ContentType="application/vnd.ms-office.chartstyle+xml"/>
  <Override PartName="/xl/charts/chart4.xml" ContentType="application/vnd.openxmlformats-officedocument.drawingml.chart+xml"/>
  <Override PartName="/xl/charts/style25.xml" ContentType="application/vnd.ms-office.chartstyle+xml"/>
  <Override PartName="/xl/charts/chart41.xml" ContentType="application/vnd.openxmlformats-officedocument.drawingml.chart+xml"/>
  <Override PartName="/xl/charts/chart18.xml" ContentType="application/vnd.openxmlformats-officedocument.drawingml.chart+xml"/>
  <Override PartName="/xl/charts/colors43.xml" ContentType="application/vnd.ms-office.chartcolorstyle+xml"/>
  <Override PartName="/xl/charts/colors47.xml" ContentType="application/vnd.ms-office.chartcolorstyle+xml"/>
  <Override PartName="/xl/charts/chart31.xml" ContentType="application/vnd.openxmlformats-officedocument.drawingml.chart+xml"/>
  <Override PartName="/xl/charts/colors68.xml" ContentType="application/vnd.ms-office.chartcolorstyle+xml"/>
  <Override PartName="/xl/charts/chart27.xml" ContentType="application/vnd.openxmlformats-officedocument.drawingml.chart+xml"/>
  <Override PartName="/xl/charts/style32.xml" ContentType="application/vnd.ms-office.chartstyle+xml"/>
  <Override PartName="/xl/charts/chart61.xml" ContentType="application/vnd.openxmlformats-officedocument.drawingml.chart+xml"/>
  <Override PartName="/xl/charts/colors4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in" sheetId="1" state="visible" r:id="rId3"/>
    <sheet name="Visits" sheetId="2" state="visible" r:id="rId4"/>
  </sheets>
  <definedNames>
    <definedName function="false" hidden="false" localSheetId="0" name="_xlnm.Print_Area" vbProcedure="false">Main!$O$398:$AF$455</definedName>
    <definedName function="false" hidden="false" name="VISITS" vbProcedure="false">Visits!$V$2:$AG$42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<sst xmlns="http://schemas.openxmlformats.org/spreadsheetml/2006/main" count="3319" uniqueCount="267">
  <si>
    <t xml:space="preserve">FH</t>
  </si>
  <si>
    <t xml:space="preserve">IH</t>
  </si>
  <si>
    <t xml:space="preserve">NH</t>
  </si>
  <si>
    <t xml:space="preserve">VCH</t>
  </si>
  <si>
    <t xml:space="preserve">VIHA</t>
  </si>
  <si>
    <t xml:space="preserve">BC</t>
  </si>
  <si>
    <t xml:space="preserve">North Surrey</t>
  </si>
  <si>
    <t xml:space="preserve">Edmonds</t>
  </si>
  <si>
    <t xml:space="preserve">Ridge Meadows</t>
  </si>
  <si>
    <t xml:space="preserve">Abbotsford</t>
  </si>
  <si>
    <t xml:space="preserve">Surrey Newton</t>
  </si>
  <si>
    <t xml:space="preserve">Port Moody</t>
  </si>
  <si>
    <t xml:space="preserve">Metrotown</t>
  </si>
  <si>
    <t xml:space="preserve">Langley</t>
  </si>
  <si>
    <t xml:space="preserve">Chilliwack</t>
  </si>
  <si>
    <t xml:space="preserve">Mission</t>
  </si>
  <si>
    <t xml:space="preserve">Kamloops</t>
  </si>
  <si>
    <t xml:space="preserve">Vernon</t>
  </si>
  <si>
    <t xml:space="preserve">Kelowna</t>
  </si>
  <si>
    <t xml:space="preserve">Castlegar**</t>
  </si>
  <si>
    <t xml:space="preserve">West Kelowna</t>
  </si>
  <si>
    <t xml:space="preserve">Penticton</t>
  </si>
  <si>
    <t xml:space="preserve">Cranbrook</t>
  </si>
  <si>
    <t xml:space="preserve">Ashcroft</t>
  </si>
  <si>
    <t xml:space="preserve">Rutland</t>
  </si>
  <si>
    <t xml:space="preserve">Kamloops North</t>
  </si>
  <si>
    <t xml:space="preserve">Williams Lake</t>
  </si>
  <si>
    <t xml:space="preserve">Quesnel</t>
  </si>
  <si>
    <t xml:space="preserve">Prince George**</t>
  </si>
  <si>
    <t xml:space="preserve">Vancouver CC</t>
  </si>
  <si>
    <t xml:space="preserve">North Shore</t>
  </si>
  <si>
    <t xml:space="preserve">REACH</t>
  </si>
  <si>
    <t xml:space="preserve">Northeast</t>
  </si>
  <si>
    <t xml:space="preserve">Richmond</t>
  </si>
  <si>
    <t xml:space="preserve">Southeast</t>
  </si>
  <si>
    <t xml:space="preserve">Richmond East</t>
  </si>
  <si>
    <t xml:space="preserve">Westshore</t>
  </si>
  <si>
    <t xml:space="preserve">Nanaimo**</t>
  </si>
  <si>
    <t xml:space="preserve">James Bay</t>
  </si>
  <si>
    <t xml:space="preserve">Downtown</t>
  </si>
  <si>
    <t xml:space="preserve">North Quadra</t>
  </si>
  <si>
    <t xml:space="preserve">Esquimalt</t>
  </si>
  <si>
    <t xml:space="preserve">Gorge</t>
  </si>
  <si>
    <t xml:space="preserve">Comox Valley</t>
  </si>
  <si>
    <t xml:space="preserve">Peninsula</t>
  </si>
  <si>
    <t xml:space="preserve">Campbell River</t>
  </si>
  <si>
    <t xml:space="preserve">Central Nanaimo</t>
  </si>
  <si>
    <t xml:space="preserve">Cowichan</t>
  </si>
  <si>
    <t xml:space="preserve">Opening Date</t>
  </si>
  <si>
    <t xml:space="preserve">2024–05-10</t>
  </si>
  <si>
    <t xml:space="preserve">2025 ORIGINAL DATA</t>
  </si>
  <si>
    <t xml:space="preserve">Family Physician </t>
  </si>
  <si>
    <t xml:space="preserve">$ Budgeted</t>
  </si>
  <si>
    <t xml:space="preserve">$ Actual</t>
  </si>
  <si>
    <t xml:space="preserve">Nurse Practitioner</t>
  </si>
  <si>
    <t xml:space="preserve">Nursing</t>
  </si>
  <si>
    <t xml:space="preserve">Allied Health</t>
  </si>
  <si>
    <t xml:space="preserve">Other Clinical</t>
  </si>
  <si>
    <t xml:space="preserve">Admin/Misc/Uncategorized</t>
  </si>
  <si>
    <t xml:space="preserve">Overhead</t>
  </si>
  <si>
    <t xml:space="preserve">Patient Visits (All)</t>
  </si>
  <si>
    <t xml:space="preserve">Visits</t>
  </si>
  <si>
    <t xml:space="preserve">Pts Attached Here</t>
  </si>
  <si>
    <t xml:space="preserve">Pts Attached Elsewhere</t>
  </si>
  <si>
    <t xml:space="preserve">Pts Unattached</t>
  </si>
  <si>
    <t xml:space="preserve">Encounters</t>
  </si>
  <si>
    <t xml:space="preserve">Registered Nurse</t>
  </si>
  <si>
    <t xml:space="preserve">Licensed Practical Nurse</t>
  </si>
  <si>
    <t xml:space="preserve">Virtual Encounters</t>
  </si>
  <si>
    <t xml:space="preserve">FTE Approved</t>
  </si>
  <si>
    <t xml:space="preserve">FTE Recruited</t>
  </si>
  <si>
    <t xml:space="preserve">2024 ORIGINAL DATA</t>
  </si>
  <si>
    <t xml:space="preserve">MHSU</t>
  </si>
  <si>
    <t xml:space="preserve">Patient Visits</t>
  </si>
  <si>
    <t xml:space="preserve">2023 ORIGINAL DATA</t>
  </si>
  <si>
    <t xml:space="preserve"> </t>
  </si>
  <si>
    <t xml:space="preserve">2025 ANALYSIS</t>
  </si>
  <si>
    <t xml:space="preserve">Total</t>
  </si>
  <si>
    <t xml:space="preserve">Primary Care</t>
  </si>
  <si>
    <t xml:space="preserve">Other</t>
  </si>
  <si>
    <t xml:space="preserve">%Budgeted</t>
  </si>
  <si>
    <t xml:space="preserve">%FTE Approved</t>
  </si>
  <si>
    <t xml:space="preserve">%Total $</t>
  </si>
  <si>
    <t xml:space="preserve">Est. FTE Family Physician @ 260k</t>
  </si>
  <si>
    <t xml:space="preserve">Estimate</t>
  </si>
  <si>
    <t xml:space="preserve">Est. FTE Nurse Practitioner @ 160k</t>
  </si>
  <si>
    <t xml:space="preserve">Est. FTE Primary Care</t>
  </si>
  <si>
    <t xml:space="preserve">Est. FTE Nursing @ 100k</t>
  </si>
  <si>
    <t xml:space="preserve">Est. Nursing:PCP ratio</t>
  </si>
  <si>
    <t xml:space="preserve">Cost per Visit</t>
  </si>
  <si>
    <t xml:space="preserve">Overhead per Visit</t>
  </si>
  <si>
    <t xml:space="preserve">Total Encounters</t>
  </si>
  <si>
    <t xml:space="preserve">Actual</t>
  </si>
  <si>
    <t xml:space="preserve">% FP Encounters</t>
  </si>
  <si>
    <t xml:space="preserve">%Total</t>
  </si>
  <si>
    <t xml:space="preserve">% NP Encounters</t>
  </si>
  <si>
    <t xml:space="preserve">% RN Encounters</t>
  </si>
  <si>
    <t xml:space="preserve">% LPN Encounters</t>
  </si>
  <si>
    <t xml:space="preserve">% Other Encounters</t>
  </si>
  <si>
    <t xml:space="preserve">Primary Care Encounters </t>
  </si>
  <si>
    <t xml:space="preserve">Nursing Encounters</t>
  </si>
  <si>
    <t xml:space="preserve">% Primary Care Encounters</t>
  </si>
  <si>
    <t xml:space="preserve">% Nursing Encounters</t>
  </si>
  <si>
    <t xml:space="preserve">Per Visit</t>
  </si>
  <si>
    <t xml:space="preserve">FP encounters</t>
  </si>
  <si>
    <t xml:space="preserve">NP encounters</t>
  </si>
  <si>
    <t xml:space="preserve">Encounters per Visit</t>
  </si>
  <si>
    <t xml:space="preserve">% Virtual Encounters</t>
  </si>
  <si>
    <t xml:space="preserve">Nursing Encounters </t>
  </si>
  <si>
    <t xml:space="preserve">RN Encounters</t>
  </si>
  <si>
    <t xml:space="preserve">LPN Encounters</t>
  </si>
  <si>
    <t xml:space="preserve">Other Encounters</t>
  </si>
  <si>
    <t xml:space="preserve">FP$ per FP encounter</t>
  </si>
  <si>
    <t xml:space="preserve">NP$ per NP encounter</t>
  </si>
  <si>
    <t xml:space="preserve">Nursing$ per Nursing encounter</t>
  </si>
  <si>
    <t xml:space="preserve">FP encounters per FP FTE</t>
  </si>
  <si>
    <t xml:space="preserve">NP encounters per NP FTE</t>
  </si>
  <si>
    <t xml:space="preserve">Nurs encounters per nurs FTE</t>
  </si>
  <si>
    <t xml:space="preserve">N:PCP ratio recruited FTE</t>
  </si>
  <si>
    <t xml:space="preserve">2024 ANALYSIS</t>
  </si>
  <si>
    <t xml:space="preserve">2023 ANALYSIS</t>
  </si>
  <si>
    <t xml:space="preserve">COSTS PER VISIT 2024/2025</t>
  </si>
  <si>
    <t xml:space="preserve">Site</t>
  </si>
  <si>
    <t xml:space="preserve">Province wide</t>
  </si>
  <si>
    <t xml:space="preserve">Total visits</t>
  </si>
  <si>
    <t xml:space="preserve">Avg per UPCC</t>
  </si>
  <si>
    <t xml:space="preserve">Total operating costs</t>
  </si>
  <si>
    <t xml:space="preserve">Cost per visit</t>
  </si>
  <si>
    <t xml:space="preserve">Overhead per visit</t>
  </si>
  <si>
    <t xml:space="preserve">Estmated FTEs FY2024-2025</t>
  </si>
  <si>
    <t xml:space="preserve">Enc per FTE</t>
  </si>
  <si>
    <t xml:space="preserve">ESTIMATED FTE 2024/2025</t>
  </si>
  <si>
    <t xml:space="preserve">Total Primary care FTE</t>
  </si>
  <si>
    <t xml:space="preserve">Total Nursing FTE</t>
  </si>
  <si>
    <t xml:space="preserve">Ratio Nursing:Primary Care</t>
  </si>
  <si>
    <t xml:space="preserve">PROVINCE CHANGE OVER TIME</t>
  </si>
  <si>
    <t xml:space="preserve">FTE</t>
  </si>
  <si>
    <t xml:space="preserve">Nursing:Primary Care FTE</t>
  </si>
  <si>
    <t xml:space="preserve">Visits per Provider</t>
  </si>
  <si>
    <t xml:space="preserve">% Budgeted</t>
  </si>
  <si>
    <t xml:space="preserve">Budgeted</t>
  </si>
  <si>
    <t xml:space="preserve">per visit</t>
  </si>
  <si>
    <t xml:space="preserve">Total Cost</t>
  </si>
  <si>
    <t xml:space="preserve">FEES FOR COMPARISON</t>
  </si>
  <si>
    <t xml:space="preserve">Family medicine FFS</t>
  </si>
  <si>
    <t xml:space="preserve">Family medicine LFP</t>
  </si>
  <si>
    <t xml:space="preserve">Dermatology consult</t>
  </si>
  <si>
    <t xml:space="preserve">Urology consult</t>
  </si>
  <si>
    <t xml:space="preserve">Ophthalmology consult</t>
  </si>
  <si>
    <t xml:space="preserve">Plastic surgery consult</t>
  </si>
  <si>
    <t xml:space="preserve">Orthopeaedics consult</t>
  </si>
  <si>
    <t xml:space="preserve">General surgery consult</t>
  </si>
  <si>
    <t xml:space="preserve">OBGYN consult</t>
  </si>
  <si>
    <t xml:space="preserve">Gastro consult</t>
  </si>
  <si>
    <t xml:space="preserve">Neurosurgery consult</t>
  </si>
  <si>
    <t xml:space="preserve">UPCC visit</t>
  </si>
  <si>
    <t xml:space="preserve">Cardiology consult</t>
  </si>
  <si>
    <t xml:space="preserve">Int Med consult</t>
  </si>
  <si>
    <t xml:space="preserve">Hematology consult</t>
  </si>
  <si>
    <t xml:space="preserve">Neurology consult</t>
  </si>
  <si>
    <t xml:space="preserve">Geriatrics consult</t>
  </si>
  <si>
    <t xml:space="preserve">Endocrinology consult</t>
  </si>
  <si>
    <t xml:space="preserve">Rheumatology consult</t>
  </si>
  <si>
    <t xml:space="preserve">Pediatrics consult</t>
  </si>
  <si>
    <t xml:space="preserve">Psychiatry consult</t>
  </si>
  <si>
    <t xml:space="preserve">BIG PICTURE</t>
  </si>
  <si>
    <t xml:space="preserve"># patient visits</t>
  </si>
  <si>
    <t xml:space="preserve">total costs</t>
  </si>
  <si>
    <t xml:space="preserve">cost per visit</t>
  </si>
  <si>
    <t xml:space="preserve">fee comparison</t>
  </si>
  <si>
    <t xml:space="preserve">visits by attachment type</t>
  </si>
  <si>
    <t xml:space="preserve">VISITS AND ENCOUNTERS</t>
  </si>
  <si>
    <t xml:space="preserve">OPERATING COSTS</t>
  </si>
  <si>
    <t xml:space="preserve">actual costs</t>
  </si>
  <si>
    <t xml:space="preserve">Family docs</t>
  </si>
  <si>
    <t xml:space="preserve">NPs</t>
  </si>
  <si>
    <t xml:space="preserve">nursing</t>
  </si>
  <si>
    <t xml:space="preserve">allied health</t>
  </si>
  <si>
    <t xml:space="preserve">overhead</t>
  </si>
  <si>
    <t xml:space="preserve">STAFFING</t>
  </si>
  <si>
    <t xml:space="preserve">% FTE approved vs. %budget</t>
  </si>
  <si>
    <t xml:space="preserve">primary care vs. Nursing</t>
  </si>
  <si>
    <t xml:space="preserve">PRODUCTIVITY</t>
  </si>
  <si>
    <t xml:space="preserve">FY</t>
  </si>
  <si>
    <t xml:space="preserve">Period</t>
  </si>
  <si>
    <t xml:space="preserve">Unique Patients</t>
  </si>
  <si>
    <t xml:space="preserve">Unique Pts w/o MSP</t>
  </si>
  <si>
    <t xml:space="preserve">Visits – attached</t>
  </si>
  <si>
    <t xml:space="preserve">Visits – attached elsewhere</t>
  </si>
  <si>
    <t xml:space="preserve">Visits – unattached</t>
  </si>
  <si>
    <t xml:space="preserve">Encounters FP</t>
  </si>
  <si>
    <t xml:space="preserve">Encounters NP</t>
  </si>
  <si>
    <t xml:space="preserve">Encounters RN</t>
  </si>
  <si>
    <t xml:space="preserve">Encounters LPN</t>
  </si>
  <si>
    <t xml:space="preserve">Encounters Other</t>
  </si>
  <si>
    <t xml:space="preserve">Encounters Virtual</t>
  </si>
  <si>
    <t xml:space="preserve">Encounters After hours</t>
  </si>
  <si>
    <t xml:space="preserve">FP Enc</t>
  </si>
  <si>
    <t xml:space="preserve">NP Enc</t>
  </si>
  <si>
    <t xml:space="preserve">RN Enc</t>
  </si>
  <si>
    <t xml:space="preserve">LPN Enc</t>
  </si>
  <si>
    <t xml:space="preserve">Misc Enc</t>
  </si>
  <si>
    <t xml:space="preserve">Total Enc</t>
  </si>
  <si>
    <t xml:space="preserve">Vis-AttHere</t>
  </si>
  <si>
    <t xml:space="preserve">Vis-AttOther</t>
  </si>
  <si>
    <t xml:space="preserve">Vis-UnAt</t>
  </si>
  <si>
    <t xml:space="preserve">Virtual Enc</t>
  </si>
  <si>
    <t xml:space="preserve">Visits2025-2026</t>
  </si>
  <si>
    <t xml:space="preserve">scaled</t>
  </si>
  <si>
    <t xml:space="preserve">vs. prev</t>
  </si>
  <si>
    <t xml:space="preserve">Fraser-Abbotsford-Abbotsford</t>
  </si>
  <si>
    <t xml:space="preserve">2024/25</t>
  </si>
  <si>
    <t xml:space="preserve">P1</t>
  </si>
  <si>
    <t xml:space="preserve">P10</t>
  </si>
  <si>
    <t xml:space="preserve">P11</t>
  </si>
  <si>
    <t xml:space="preserve">P12</t>
  </si>
  <si>
    <t xml:space="preserve">P13</t>
  </si>
  <si>
    <t xml:space="preserve">P2</t>
  </si>
  <si>
    <t xml:space="preserve">P3</t>
  </si>
  <si>
    <t xml:space="preserve">P4</t>
  </si>
  <si>
    <t xml:space="preserve">P5</t>
  </si>
  <si>
    <t xml:space="preserve">P6</t>
  </si>
  <si>
    <t xml:space="preserve">P7</t>
  </si>
  <si>
    <t xml:space="preserve">P8</t>
  </si>
  <si>
    <t xml:space="preserve">P9</t>
  </si>
  <si>
    <t xml:space="preserve">Fraser-Burnaby-Edmonds</t>
  </si>
  <si>
    <t xml:space="preserve">Fraser-Burnaby-Metrotown</t>
  </si>
  <si>
    <t xml:space="preserve">Fraser-Chilliwack-and-Fraser-Chilliwack</t>
  </si>
  <si>
    <t xml:space="preserve">Fraser-Fraser-Northwest-Port-Moody</t>
  </si>
  <si>
    <t xml:space="preserve">Fraser-Langley-Langley</t>
  </si>
  <si>
    <t xml:space="preserve">Fraser-Mission-Mission</t>
  </si>
  <si>
    <t xml:space="preserve">Fraser-Ridge-Meadows-Ridge-Meadows</t>
  </si>
  <si>
    <t xml:space="preserve">Fraser-Surrey-North-Delta-North-Surrey-Wha</t>
  </si>
  <si>
    <t xml:space="preserve">Fraser-Surrey-North-Delta-Surrey-Newton</t>
  </si>
  <si>
    <t xml:space="preserve">Interior-Central-Okanagan-Kelowna</t>
  </si>
  <si>
    <t xml:space="preserve">Interior-Central-Okanagan-Rutland</t>
  </si>
  <si>
    <t xml:space="preserve">Interior-Central-Okanagan-West-Kelowna</t>
  </si>
  <si>
    <t xml:space="preserve">Interior-East-Kootenay-Cranbrook</t>
  </si>
  <si>
    <t xml:space="preserve">Interior-Interior-Rural-and-RemAshcroft</t>
  </si>
  <si>
    <t xml:space="preserve">Interior-Kootenay-Boundary-Castlegar</t>
  </si>
  <si>
    <t xml:space="preserve">Interior-Shuswap-North-OkanaVernon</t>
  </si>
  <si>
    <t xml:space="preserve">Interior-South-Okanagan-Simil-Penticton</t>
  </si>
  <si>
    <t xml:space="preserve">Interior-Thompson-Kamloops-North-S</t>
  </si>
  <si>
    <t xml:space="preserve">Interior-Thompson-Kamloops-South</t>
  </si>
  <si>
    <t xml:space="preserve">Northern-Northern-Interior-Rura-Quesnel</t>
  </si>
  <si>
    <t xml:space="preserve">Northern-Prince-George-Prince-George</t>
  </si>
  <si>
    <t xml:space="preserve">Vancouver-Coastal-North-Shore-North-Vancouver</t>
  </si>
  <si>
    <t xml:space="preserve">Vancouver-Coastal-Richmond-Richmond-City-Ce</t>
  </si>
  <si>
    <t xml:space="preserve">Vancouver-Coastal-Richmond-Richmond-East</t>
  </si>
  <si>
    <t xml:space="preserve">Vancouver-Coastal-Vancouver-Northeast</t>
  </si>
  <si>
    <t xml:space="preserve">Vancouver-Coastal-Vancouver-REACH</t>
  </si>
  <si>
    <t xml:space="preserve">Vancouver-Coastal-Vancouver-Southeast</t>
  </si>
  <si>
    <t xml:space="preserve">Vancouver-Coastal-Vancouver-Vancouver-City-C</t>
  </si>
  <si>
    <t xml:space="preserve">Vancouver-Island-Campbell-River-Campbell-River</t>
  </si>
  <si>
    <t xml:space="preserve">Vancouver-Island-Comox-Valley-Comox</t>
  </si>
  <si>
    <t xml:space="preserve">Vancouver-Island-Nanaimo-Central-Nanaimo</t>
  </si>
  <si>
    <t xml:space="preserve">Vancouver-Island-Nanaimo-Nanaimo-Medica</t>
  </si>
  <si>
    <t xml:space="preserve">Vancouver-Island-Saanich-Peninsula-North-Quadra</t>
  </si>
  <si>
    <t xml:space="preserve">Vancouver-Island-Saanich-Peninsula-Peninsula</t>
  </si>
  <si>
    <t xml:space="preserve">Vancouver-Island-Victoria-Downtown-Victor</t>
  </si>
  <si>
    <t xml:space="preserve">Vancouver-Island-Victoria-Gorge-Road</t>
  </si>
  <si>
    <t xml:space="preserve">Vancouver-Island-Victoria-James-Bay</t>
  </si>
  <si>
    <t xml:space="preserve">Vancouver-Island-Western-CommunitiesEsquimalt</t>
  </si>
  <si>
    <t xml:space="preserve">Vancouver-Island-Western-CommunitiesWestshore</t>
  </si>
  <si>
    <t xml:space="preserve">2025/26</t>
  </si>
  <si>
    <t xml:space="preserve">Interior-Central-Interior-Rural-D-Williams-Lake</t>
  </si>
  <si>
    <t xml:space="preserve">Interior-East-Kootenay-Elkford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</si>
</sst>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yyyy/mm/dd"/>
    <numFmt numFmtId="166" formatCode="#,##0"/>
    <numFmt numFmtId="167" formatCode="0.00%"/>
    <numFmt numFmtId="168" formatCode="0.00"/>
    <numFmt numFmtId="169" formatCode="#,##0.00"/>
    <numFmt numFmtId="170" formatCode="[$$-1009]#,##0.00;[RED]\-[$$-1009]#,##0.00"/>
    <numFmt numFmtId="171" formatCode="0"/>
    <numFmt numFmtId="172" formatCode="@"/>
    <numFmt numFmtId="173" formatCode="#,##0_);\(#,##0\)"/>
    <numFmt numFmtId="174" formatCode="\$0,,\M"/>
    <numFmt numFmtId="175" formatCode="[$$-1009]#,##0;[RED]\-[$$-1009]#,##0"/>
    <numFmt numFmtId="176" formatCode="0%"/>
    <numFmt numFmtId="177" formatCode="[$-1009]0%"/>
    <numFmt numFmtId="178" formatCode="0.0"/>
  </numFmts>
  <fonts count="6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venir Next Condensed"/>
      <family val="0"/>
      <charset val="1"/>
    </font>
    <font>
      <b val="true"/>
      <i val="true"/>
      <u val="single"/>
      <sz val="10"/>
      <name val="Arial"/>
      <family val="2"/>
      <charset val="1"/>
    </font>
    <font>
      <sz val="10"/>
      <name val="Liberation Sans Narrow"/>
      <family val="2"/>
      <charset val="1"/>
    </font>
    <font>
      <i val="true"/>
      <sz val="10"/>
      <name val="Liberation Sans Narrow"/>
      <family val="2"/>
      <charset val="1"/>
    </font>
    <font>
      <b val="true"/>
      <sz val="12"/>
      <name val="Arial"/>
      <family val="2"/>
      <charset val="1"/>
    </font>
    <font>
      <b val="true"/>
      <sz val="14"/>
      <name val="Arial"/>
      <family val="2"/>
      <charset val="1"/>
    </font>
    <font>
      <sz val="14"/>
      <name val="Arial"/>
      <family val="2"/>
      <charset val="1"/>
    </font>
    <font>
      <sz val="12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FFFF00"/>
      <name val="Arial"/>
      <family val="2"/>
      <charset val="1"/>
    </font>
    <font>
      <sz val="10"/>
      <color rgb="FF0000FF"/>
      <name val="Arial"/>
      <family val="2"/>
      <charset val="1"/>
    </font>
    <font>
      <sz val="10"/>
      <color rgb="FF00FF00"/>
      <name val="Arial"/>
      <family val="2"/>
      <charset val="1"/>
    </font>
    <font>
      <sz val="10"/>
      <color rgb="FFFF00FF"/>
      <name val="Arial"/>
      <family val="2"/>
      <charset val="1"/>
    </font>
    <font>
      <sz val="10"/>
      <color rgb="FF00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name val="Liberation Sans Narrow"/>
      <family val="2"/>
      <charset val="1"/>
    </font>
    <font>
      <b val="true"/>
      <sz val="10.5"/>
      <name val="Avenir Next Condensed"/>
      <family val="0"/>
      <charset val="1"/>
    </font>
    <font>
      <i val="true"/>
      <sz val="8"/>
      <color rgb="FF808080"/>
      <name val="Arial"/>
      <family val="2"/>
      <charset val="1"/>
    </font>
    <font>
      <i val="true"/>
      <sz val="8"/>
      <color rgb="FF666666"/>
      <name val="Avenir Next Condensed"/>
      <family val="0"/>
      <charset val="1"/>
    </font>
    <font>
      <b val="true"/>
      <sz val="9"/>
      <name val="Avenir"/>
      <family val="0"/>
      <charset val="1"/>
    </font>
    <font>
      <i val="true"/>
      <sz val="9"/>
      <name val="Avenir Next Condensed"/>
      <family val="0"/>
      <charset val="1"/>
    </font>
    <font>
      <sz val="9"/>
      <name val="Arial"/>
      <family val="2"/>
      <charset val="1"/>
    </font>
    <font>
      <i val="true"/>
      <sz val="8"/>
      <color rgb="FF666666"/>
      <name val="Arial"/>
      <family val="2"/>
      <charset val="1"/>
    </font>
    <font>
      <sz val="8"/>
      <color rgb="FFEC9393"/>
      <name val="Arial"/>
      <family val="2"/>
      <charset val="1"/>
    </font>
    <font>
      <i val="true"/>
      <sz val="8"/>
      <name val="Avenir Next Condensed"/>
      <family val="0"/>
      <charset val="1"/>
    </font>
    <font>
      <sz val="8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E61AAA"/>
      <name val="Arial"/>
      <family val="2"/>
      <charset val="1"/>
    </font>
    <font>
      <sz val="8"/>
      <color rgb="FFF38DD5"/>
      <name val="Arial"/>
      <family val="2"/>
      <charset val="1"/>
    </font>
    <font>
      <sz val="9"/>
      <color rgb="FF0433FF"/>
      <name val="Arial"/>
      <family val="2"/>
      <charset val="1"/>
    </font>
    <font>
      <sz val="8"/>
      <color rgb="FF8299FF"/>
      <name val="Arial"/>
      <family val="2"/>
      <charset val="1"/>
    </font>
    <font>
      <sz val="9"/>
      <color rgb="FF0DF228"/>
      <name val="Arial"/>
      <family val="2"/>
      <charset val="1"/>
    </font>
    <font>
      <sz val="8"/>
      <color rgb="FF86F994"/>
      <name val="Arial"/>
      <family val="2"/>
      <charset val="1"/>
    </font>
    <font>
      <sz val="9"/>
      <color rgb="FF996678"/>
      <name val="Arial"/>
      <family val="2"/>
      <charset val="1"/>
    </font>
    <font>
      <sz val="8"/>
      <color rgb="FFCCB3BC"/>
      <name val="Arial"/>
      <family val="2"/>
      <charset val="1"/>
    </font>
    <font>
      <sz val="9"/>
      <color rgb="FF009CFF"/>
      <name val="Arial"/>
      <family val="2"/>
      <charset val="1"/>
    </font>
    <font>
      <sz val="8"/>
      <color rgb="FF80CEFF"/>
      <name val="Arial"/>
      <family val="2"/>
      <charset val="1"/>
    </font>
    <font>
      <sz val="9"/>
      <color rgb="FF000000"/>
      <name val="Arial"/>
      <family val="2"/>
      <charset val="1"/>
    </font>
    <font>
      <sz val="8"/>
      <color rgb="FF808080"/>
      <name val="Arial"/>
      <family val="2"/>
      <charset val="1"/>
    </font>
    <font>
      <b val="true"/>
      <i val="true"/>
      <sz val="9"/>
      <name val="Avenir"/>
      <family val="0"/>
      <charset val="1"/>
    </font>
    <font>
      <sz val="8"/>
      <color rgb="FF808080"/>
      <name val="Arial"/>
      <family val="2"/>
    </font>
    <font>
      <sz val="9"/>
      <color rgb="FF808080"/>
      <name val="Arial"/>
      <family val="2"/>
    </font>
    <font>
      <sz val="10"/>
      <color rgb="FF808080"/>
      <name val="Arial"/>
      <family val="2"/>
    </font>
    <font>
      <b val="true"/>
      <sz val="18"/>
      <color rgb="FF808080"/>
      <name val="Arial"/>
      <family val="2"/>
    </font>
    <font>
      <sz val="12"/>
      <color rgb="FF808080"/>
      <name val="Arial"/>
      <family val="2"/>
    </font>
    <font>
      <b val="true"/>
      <sz val="14"/>
      <color rgb="FF808080"/>
      <name val="Arial"/>
      <family val="2"/>
    </font>
    <font>
      <sz val="11"/>
      <color rgb="FF808080"/>
      <name val="Arial"/>
      <family val="2"/>
    </font>
    <font>
      <sz val="11"/>
      <color rgb="FF666666"/>
      <name val="Arial"/>
      <family val="2"/>
    </font>
    <font>
      <sz val="8"/>
      <color rgb="FF999999"/>
      <name val="Arial"/>
      <family val="2"/>
    </font>
    <font>
      <sz val="10"/>
      <color rgb="FF808080"/>
      <name val="Arial Narrow"/>
      <family val="2"/>
    </font>
    <font>
      <b val="true"/>
      <sz val="15"/>
      <color rgb="FF808080"/>
      <name val="Arial"/>
      <family val="2"/>
    </font>
    <font>
      <sz val="10"/>
      <color rgb="FF808080"/>
      <name val="arial Narrow"/>
      <family val="2"/>
    </font>
    <font>
      <sz val="15"/>
      <color rgb="FF808080"/>
      <name val="Arial"/>
      <family val="2"/>
    </font>
    <font>
      <sz val="9"/>
      <color rgb="FF808080"/>
      <name val="Arial Narrow"/>
      <family val="2"/>
    </font>
    <font>
      <sz val="12"/>
      <color rgb="FF666666"/>
      <name val="Arial"/>
      <family val="2"/>
    </font>
    <font>
      <sz val="9"/>
      <color rgb="FF808080"/>
      <name val="Liberation Sans Narrow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45" wrapText="false" indent="0" shrinkToFit="false"/>
      <protection locked="true" hidden="false"/>
    </xf>
    <xf numFmtId="170" fontId="21" fillId="0" borderId="0" xfId="0" applyFont="true" applyBorder="false" applyAlignment="true" applyProtection="true">
      <alignment horizontal="center" vertical="center" textRotation="0" wrapText="false" indent="0" shrinkToFit="true"/>
      <protection locked="true" hidden="false"/>
    </xf>
    <xf numFmtId="172" fontId="0" fillId="0" borderId="0" xfId="0" applyFont="false" applyBorder="false" applyAlignment="true" applyProtection="true">
      <alignment horizontal="center" vertical="bottom" textRotation="0" wrapText="false" indent="0" shrinkToFit="tru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7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3" fontId="4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2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blank" xfId="20"/>
    <cellStyle name="Result2" xfId="21"/>
  </cellStyles>
  <dxfs count="1">
    <dxf>
      <font>
        <name val="Avenir Next Condensed"/>
        <charset val="1"/>
        <family val="0"/>
        <b val="1"/>
        <color rgb="FFFFFFFF"/>
        <sz val="11"/>
      </font>
      <numFmt numFmtId="164" formatCode="General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B3FF0000"/>
      <rgbColor rgb="99158466"/>
      <rgbColor rgb="80000000"/>
      <rgbColor rgb="FF666666"/>
      <rgbColor rgb="80800080"/>
      <rgbColor rgb="FF158466"/>
      <rgbColor rgb="FFCCB3BC"/>
      <rgbColor rgb="FF808080"/>
      <rgbColor rgb="FF8299FF"/>
      <rgbColor rgb="FF996678"/>
      <rgbColor rgb="FFEEEEEE"/>
      <rgbColor rgb="802A6099"/>
      <rgbColor rgb="806B5E9B"/>
      <rgbColor rgb="FFEC9393"/>
      <rgbColor rgb="FF2A6099"/>
      <rgbColor rgb="4D158466"/>
      <rgbColor rgb="4D000000"/>
      <rgbColor rgb="FFE61AAA"/>
      <rgbColor rgb="272A6099"/>
      <rgbColor rgb="80158466"/>
      <rgbColor rgb="FF7C0079"/>
      <rgbColor rgb="336B5E9B"/>
      <rgbColor rgb="D9158466"/>
      <rgbColor rgb="FF0433FF"/>
      <rgbColor rgb="FF009CFF"/>
      <rgbColor rgb="4D2A6099"/>
      <rgbColor rgb="FF86F994"/>
      <rgbColor rgb="332A6099"/>
      <rgbColor rgb="FF80CEFF"/>
      <rgbColor rgb="FFF38DD5"/>
      <rgbColor rgb="FF8E86AE"/>
      <rgbColor rgb="33158466"/>
      <rgbColor rgb="D92A6099"/>
      <rgbColor rgb="FF0DF228"/>
      <rgbColor rgb="8099C70E"/>
      <rgbColor rgb="27158466"/>
      <rgbColor rgb="FFCDAD06"/>
      <rgbColor rgb="80B85C00"/>
      <rgbColor rgb="FF6B5E9B"/>
      <rgbColor rgb="FF999999"/>
      <rgbColor rgb="B32A6099"/>
      <rgbColor rgb="CC158466"/>
      <rgbColor rgb="99000000"/>
      <rgbColor rgb="33000000"/>
      <rgbColor rgb="FFB95900"/>
      <rgbColor rgb="996B5E9B"/>
      <rgbColor rgb="CC2A6099"/>
      <rgbColor rgb="992A609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_rels/chart10.xml.rels><?xml version="1.0" encoding="UTF-8"?>
<Relationships xmlns="http://schemas.openxmlformats.org/package/2006/relationships"><Relationship Id="rId1" Type="http://schemas.microsoft.com/office/2011/relationships/chartStyle" Target="style10.xml"/><Relationship Id="rId2" Type="http://schemas.microsoft.com/office/2011/relationships/chartColorStyle" Target="colors10.xml"/>
</Relationships>
</file>

<file path=xl/charts/_rels/chart11.xml.rels><?xml version="1.0" encoding="UTF-8"?>
<Relationships xmlns="http://schemas.openxmlformats.org/package/2006/relationships"><Relationship Id="rId1" Type="http://schemas.microsoft.com/office/2011/relationships/chartStyle" Target="style11.xml"/><Relationship Id="rId2" Type="http://schemas.microsoft.com/office/2011/relationships/chartColorStyle" Target="colors11.xml"/>
</Relationships>
</file>

<file path=xl/charts/_rels/chart12.xml.rels><?xml version="1.0" encoding="UTF-8"?>
<Relationships xmlns="http://schemas.openxmlformats.org/package/2006/relationships"><Relationship Id="rId1" Type="http://schemas.microsoft.com/office/2011/relationships/chartStyle" Target="style12.xml"/><Relationship Id="rId2" Type="http://schemas.microsoft.com/office/2011/relationships/chartColorStyle" Target="colors12.xml"/>
</Relationships>
</file>

<file path=xl/charts/_rels/chart13.xml.rels><?xml version="1.0" encoding="UTF-8"?>
<Relationships xmlns="http://schemas.openxmlformats.org/package/2006/relationships"><Relationship Id="rId1" Type="http://schemas.microsoft.com/office/2011/relationships/chartStyle" Target="style13.xml"/><Relationship Id="rId2" Type="http://schemas.microsoft.com/office/2011/relationships/chartColorStyle" Target="colors13.xml"/>
</Relationships>
</file>

<file path=xl/charts/_rels/chart14.xml.rels><?xml version="1.0" encoding="UTF-8"?>
<Relationships xmlns="http://schemas.openxmlformats.org/package/2006/relationships"><Relationship Id="rId1" Type="http://schemas.microsoft.com/office/2011/relationships/chartStyle" Target="style14.xml"/><Relationship Id="rId2" Type="http://schemas.microsoft.com/office/2011/relationships/chartColorStyle" Target="colors14.xml"/>
</Relationships>
</file>

<file path=xl/charts/_rels/chart15.xml.rels><?xml version="1.0" encoding="UTF-8"?>
<Relationships xmlns="http://schemas.openxmlformats.org/package/2006/relationships"><Relationship Id="rId1" Type="http://schemas.microsoft.com/office/2011/relationships/chartStyle" Target="style15.xml"/><Relationship Id="rId2" Type="http://schemas.microsoft.com/office/2011/relationships/chartColorStyle" Target="colors15.xml"/>
</Relationships>
</file>

<file path=xl/charts/_rels/chart16.xml.rels><?xml version="1.0" encoding="UTF-8"?>
<Relationships xmlns="http://schemas.openxmlformats.org/package/2006/relationships"><Relationship Id="rId1" Type="http://schemas.microsoft.com/office/2011/relationships/chartStyle" Target="style16.xml"/><Relationship Id="rId2" Type="http://schemas.microsoft.com/office/2011/relationships/chartColorStyle" Target="colors16.xml"/>
</Relationships>
</file>

<file path=xl/charts/_rels/chart17.xml.rels><?xml version="1.0" encoding="UTF-8"?>
<Relationships xmlns="http://schemas.openxmlformats.org/package/2006/relationships"><Relationship Id="rId1" Type="http://schemas.microsoft.com/office/2011/relationships/chartStyle" Target="style17.xml"/><Relationship Id="rId2" Type="http://schemas.microsoft.com/office/2011/relationships/chartColorStyle" Target="colors17.xml"/>
</Relationships>
</file>

<file path=xl/charts/_rels/chart18.xml.rels><?xml version="1.0" encoding="UTF-8"?>
<Relationships xmlns="http://schemas.openxmlformats.org/package/2006/relationships"><Relationship Id="rId1" Type="http://schemas.microsoft.com/office/2011/relationships/chartStyle" Target="style18.xml"/><Relationship Id="rId2" Type="http://schemas.microsoft.com/office/2011/relationships/chartColorStyle" Target="colors18.xml"/>
</Relationships>
</file>

<file path=xl/charts/_rels/chart19.xml.rels><?xml version="1.0" encoding="UTF-8"?>
<Relationships xmlns="http://schemas.openxmlformats.org/package/2006/relationships"><Relationship Id="rId1" Type="http://schemas.microsoft.com/office/2011/relationships/chartStyle" Target="style19.xml"/><Relationship Id="rId2" Type="http://schemas.microsoft.com/office/2011/relationships/chartColorStyle" Target="colors19.xml"/>
</Relationships>
</file>

<file path=xl/charts/_rels/chart2.xml.rels><?xml version="1.0" encoding="UTF-8"?>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
</Relationships>
</file>

<file path=xl/charts/_rels/chart20.xml.rels><?xml version="1.0" encoding="UTF-8"?>
<Relationships xmlns="http://schemas.openxmlformats.org/package/2006/relationships"><Relationship Id="rId1" Type="http://schemas.microsoft.com/office/2011/relationships/chartStyle" Target="style20.xml"/><Relationship Id="rId2" Type="http://schemas.microsoft.com/office/2011/relationships/chartColorStyle" Target="colors20.xml"/>
</Relationships>
</file>

<file path=xl/charts/_rels/chart21.xml.rels><?xml version="1.0" encoding="UTF-8"?>
<Relationships xmlns="http://schemas.openxmlformats.org/package/2006/relationships"><Relationship Id="rId1" Type="http://schemas.microsoft.com/office/2011/relationships/chartStyle" Target="style21.xml"/><Relationship Id="rId2" Type="http://schemas.microsoft.com/office/2011/relationships/chartColorStyle" Target="colors21.xml"/>
</Relationships>
</file>

<file path=xl/charts/_rels/chart22.xml.rels><?xml version="1.0" encoding="UTF-8"?>
<Relationships xmlns="http://schemas.openxmlformats.org/package/2006/relationships"><Relationship Id="rId1" Type="http://schemas.microsoft.com/office/2011/relationships/chartStyle" Target="style22.xml"/><Relationship Id="rId2" Type="http://schemas.microsoft.com/office/2011/relationships/chartColorStyle" Target="colors22.xml"/>
</Relationships>
</file>

<file path=xl/charts/_rels/chart23.xml.rels><?xml version="1.0" encoding="UTF-8"?>
<Relationships xmlns="http://schemas.openxmlformats.org/package/2006/relationships"><Relationship Id="rId1" Type="http://schemas.microsoft.com/office/2011/relationships/chartStyle" Target="style23.xml"/><Relationship Id="rId2" Type="http://schemas.microsoft.com/office/2011/relationships/chartColorStyle" Target="colors23.xml"/>
</Relationships>
</file>

<file path=xl/charts/_rels/chart24.xml.rels><?xml version="1.0" encoding="UTF-8"?>
<Relationships xmlns="http://schemas.openxmlformats.org/package/2006/relationships"><Relationship Id="rId1" Type="http://schemas.microsoft.com/office/2011/relationships/chartStyle" Target="style24.xml"/><Relationship Id="rId2" Type="http://schemas.microsoft.com/office/2011/relationships/chartColorStyle" Target="colors24.xml"/>
</Relationships>
</file>

<file path=xl/charts/_rels/chart25.xml.rels><?xml version="1.0" encoding="UTF-8"?>
<Relationships xmlns="http://schemas.openxmlformats.org/package/2006/relationships"><Relationship Id="rId1" Type="http://schemas.microsoft.com/office/2011/relationships/chartStyle" Target="style25.xml"/><Relationship Id="rId2" Type="http://schemas.microsoft.com/office/2011/relationships/chartColorStyle" Target="colors25.xml"/>
</Relationships>
</file>

<file path=xl/charts/_rels/chart26.xml.rels><?xml version="1.0" encoding="UTF-8"?>
<Relationships xmlns="http://schemas.openxmlformats.org/package/2006/relationships"><Relationship Id="rId1" Type="http://schemas.microsoft.com/office/2011/relationships/chartStyle" Target="style26.xml"/><Relationship Id="rId2" Type="http://schemas.microsoft.com/office/2011/relationships/chartColorStyle" Target="colors26.xml"/>
</Relationships>
</file>

<file path=xl/charts/_rels/chart27.xml.rels><?xml version="1.0" encoding="UTF-8"?>
<Relationships xmlns="http://schemas.openxmlformats.org/package/2006/relationships"><Relationship Id="rId1" Type="http://schemas.microsoft.com/office/2011/relationships/chartStyle" Target="style27.xml"/><Relationship Id="rId2" Type="http://schemas.microsoft.com/office/2011/relationships/chartColorStyle" Target="colors27.xml"/>
</Relationships>
</file>

<file path=xl/charts/_rels/chart28.xml.rels><?xml version="1.0" encoding="UTF-8"?>
<Relationships xmlns="http://schemas.openxmlformats.org/package/2006/relationships"><Relationship Id="rId1" Type="http://schemas.microsoft.com/office/2011/relationships/chartStyle" Target="style28.xml"/><Relationship Id="rId2" Type="http://schemas.microsoft.com/office/2011/relationships/chartColorStyle" Target="colors28.xml"/>
</Relationships>
</file>

<file path=xl/charts/_rels/chart29.xml.rels><?xml version="1.0" encoding="UTF-8"?>
<Relationships xmlns="http://schemas.openxmlformats.org/package/2006/relationships"><Relationship Id="rId1" Type="http://schemas.microsoft.com/office/2011/relationships/chartStyle" Target="style29.xml"/><Relationship Id="rId2" Type="http://schemas.microsoft.com/office/2011/relationships/chartColorStyle" Target="colors29.xml"/>
</Relationships>
</file>

<file path=xl/charts/_rels/chart3.xml.rels><?xml version="1.0" encoding="UTF-8"?>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
</Relationships>
</file>

<file path=xl/charts/_rels/chart30.xml.rels><?xml version="1.0" encoding="UTF-8"?>
<Relationships xmlns="http://schemas.openxmlformats.org/package/2006/relationships"><Relationship Id="rId1" Type="http://schemas.microsoft.com/office/2011/relationships/chartStyle" Target="style30.xml"/><Relationship Id="rId2" Type="http://schemas.microsoft.com/office/2011/relationships/chartColorStyle" Target="colors30.xml"/>
</Relationships>
</file>

<file path=xl/charts/_rels/chart31.xml.rels><?xml version="1.0" encoding="UTF-8"?>
<Relationships xmlns="http://schemas.openxmlformats.org/package/2006/relationships"><Relationship Id="rId1" Type="http://schemas.microsoft.com/office/2011/relationships/chartStyle" Target="style31.xml"/><Relationship Id="rId2" Type="http://schemas.microsoft.com/office/2011/relationships/chartColorStyle" Target="colors31.xml"/>
</Relationships>
</file>

<file path=xl/charts/_rels/chart32.xml.rels><?xml version="1.0" encoding="UTF-8"?>
<Relationships xmlns="http://schemas.openxmlformats.org/package/2006/relationships"><Relationship Id="rId1" Type="http://schemas.microsoft.com/office/2011/relationships/chartStyle" Target="style32.xml"/><Relationship Id="rId2" Type="http://schemas.microsoft.com/office/2011/relationships/chartColorStyle" Target="colors32.xml"/>
</Relationships>
</file>

<file path=xl/charts/_rels/chart33.xml.rels><?xml version="1.0" encoding="UTF-8"?>
<Relationships xmlns="http://schemas.openxmlformats.org/package/2006/relationships"><Relationship Id="rId1" Type="http://schemas.microsoft.com/office/2011/relationships/chartStyle" Target="style33.xml"/><Relationship Id="rId2" Type="http://schemas.microsoft.com/office/2011/relationships/chartColorStyle" Target="colors33.xml"/>
</Relationships>
</file>

<file path=xl/charts/_rels/chart34.xml.rels><?xml version="1.0" encoding="UTF-8"?>
<Relationships xmlns="http://schemas.openxmlformats.org/package/2006/relationships"><Relationship Id="rId1" Type="http://schemas.microsoft.com/office/2011/relationships/chartStyle" Target="style34.xml"/><Relationship Id="rId2" Type="http://schemas.microsoft.com/office/2011/relationships/chartColorStyle" Target="colors34.xml"/>
</Relationships>
</file>

<file path=xl/charts/_rels/chart35.xml.rels><?xml version="1.0" encoding="UTF-8"?>
<Relationships xmlns="http://schemas.openxmlformats.org/package/2006/relationships"><Relationship Id="rId1" Type="http://schemas.microsoft.com/office/2011/relationships/chartStyle" Target="style35.xml"/><Relationship Id="rId2" Type="http://schemas.microsoft.com/office/2011/relationships/chartColorStyle" Target="colors35.xml"/>
</Relationships>
</file>

<file path=xl/charts/_rels/chart36.xml.rels><?xml version="1.0" encoding="UTF-8"?>
<Relationships xmlns="http://schemas.openxmlformats.org/package/2006/relationships"><Relationship Id="rId1" Type="http://schemas.microsoft.com/office/2011/relationships/chartStyle" Target="style36.xml"/><Relationship Id="rId2" Type="http://schemas.microsoft.com/office/2011/relationships/chartColorStyle" Target="colors36.xml"/>
</Relationships>
</file>

<file path=xl/charts/_rels/chart37.xml.rels><?xml version="1.0" encoding="UTF-8"?>
<Relationships xmlns="http://schemas.openxmlformats.org/package/2006/relationships"><Relationship Id="rId1" Type="http://schemas.microsoft.com/office/2011/relationships/chartStyle" Target="style37.xml"/><Relationship Id="rId2" Type="http://schemas.microsoft.com/office/2011/relationships/chartColorStyle" Target="colors37.xml"/>
</Relationships>
</file>

<file path=xl/charts/_rels/chart38.xml.rels><?xml version="1.0" encoding="UTF-8"?>
<Relationships xmlns="http://schemas.openxmlformats.org/package/2006/relationships"><Relationship Id="rId1" Type="http://schemas.microsoft.com/office/2011/relationships/chartStyle" Target="style38.xml"/><Relationship Id="rId2" Type="http://schemas.microsoft.com/office/2011/relationships/chartColorStyle" Target="colors38.xml"/>
</Relationships>
</file>

<file path=xl/charts/_rels/chart39.xml.rels><?xml version="1.0" encoding="UTF-8"?>
<Relationships xmlns="http://schemas.openxmlformats.org/package/2006/relationships"><Relationship Id="rId1" Type="http://schemas.microsoft.com/office/2011/relationships/chartStyle" Target="style39.xml"/><Relationship Id="rId2" Type="http://schemas.microsoft.com/office/2011/relationships/chartColorStyle" Target="colors39.xml"/>
</Relationships>
</file>

<file path=xl/charts/_rels/chart4.xml.rels><?xml version="1.0" encoding="UTF-8"?>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
</Relationships>
</file>

<file path=xl/charts/_rels/chart40.xml.rels><?xml version="1.0" encoding="UTF-8"?>
<Relationships xmlns="http://schemas.openxmlformats.org/package/2006/relationships"><Relationship Id="rId1" Type="http://schemas.microsoft.com/office/2011/relationships/chartStyle" Target="style40.xml"/><Relationship Id="rId2" Type="http://schemas.microsoft.com/office/2011/relationships/chartColorStyle" Target="colors40.xml"/>
</Relationships>
</file>

<file path=xl/charts/_rels/chart41.xml.rels><?xml version="1.0" encoding="UTF-8"?>
<Relationships xmlns="http://schemas.openxmlformats.org/package/2006/relationships"><Relationship Id="rId1" Type="http://schemas.microsoft.com/office/2011/relationships/chartStyle" Target="style41.xml"/><Relationship Id="rId2" Type="http://schemas.microsoft.com/office/2011/relationships/chartColorStyle" Target="colors41.xml"/>
</Relationships>
</file>

<file path=xl/charts/_rels/chart42.xml.rels><?xml version="1.0" encoding="UTF-8"?>
<Relationships xmlns="http://schemas.openxmlformats.org/package/2006/relationships"><Relationship Id="rId1" Type="http://schemas.microsoft.com/office/2011/relationships/chartStyle" Target="style42.xml"/><Relationship Id="rId2" Type="http://schemas.microsoft.com/office/2011/relationships/chartColorStyle" Target="colors42.xml"/>
</Relationships>
</file>

<file path=xl/charts/_rels/chart43.xml.rels><?xml version="1.0" encoding="UTF-8"?>
<Relationships xmlns="http://schemas.openxmlformats.org/package/2006/relationships"><Relationship Id="rId1" Type="http://schemas.microsoft.com/office/2011/relationships/chartStyle" Target="style43.xml"/><Relationship Id="rId2" Type="http://schemas.microsoft.com/office/2011/relationships/chartColorStyle" Target="colors43.xml"/>
</Relationships>
</file>

<file path=xl/charts/_rels/chart44.xml.rels><?xml version="1.0" encoding="UTF-8"?>
<Relationships xmlns="http://schemas.openxmlformats.org/package/2006/relationships"><Relationship Id="rId1" Type="http://schemas.microsoft.com/office/2011/relationships/chartStyle" Target="style44.xml"/><Relationship Id="rId2" Type="http://schemas.microsoft.com/office/2011/relationships/chartColorStyle" Target="colors44.xml"/>
</Relationships>
</file>

<file path=xl/charts/_rels/chart45.xml.rels><?xml version="1.0" encoding="UTF-8"?>
<Relationships xmlns="http://schemas.openxmlformats.org/package/2006/relationships"><Relationship Id="rId1" Type="http://schemas.microsoft.com/office/2011/relationships/chartStyle" Target="style45.xml"/><Relationship Id="rId2" Type="http://schemas.microsoft.com/office/2011/relationships/chartColorStyle" Target="colors45.xml"/>
</Relationships>
</file>

<file path=xl/charts/_rels/chart46.xml.rels><?xml version="1.0" encoding="UTF-8"?>
<Relationships xmlns="http://schemas.openxmlformats.org/package/2006/relationships"><Relationship Id="rId1" Type="http://schemas.microsoft.com/office/2011/relationships/chartStyle" Target="style46.xml"/><Relationship Id="rId2" Type="http://schemas.microsoft.com/office/2011/relationships/chartColorStyle" Target="colors46.xml"/>
</Relationships>
</file>

<file path=xl/charts/_rels/chart47.xml.rels><?xml version="1.0" encoding="UTF-8"?>
<Relationships xmlns="http://schemas.openxmlformats.org/package/2006/relationships"><Relationship Id="rId1" Type="http://schemas.microsoft.com/office/2011/relationships/chartStyle" Target="style47.xml"/><Relationship Id="rId2" Type="http://schemas.microsoft.com/office/2011/relationships/chartColorStyle" Target="colors47.xml"/>
</Relationships>
</file>

<file path=xl/charts/_rels/chart48.xml.rels><?xml version="1.0" encoding="UTF-8"?>
<Relationships xmlns="http://schemas.openxmlformats.org/package/2006/relationships"><Relationship Id="rId1" Type="http://schemas.microsoft.com/office/2011/relationships/chartStyle" Target="style48.xml"/><Relationship Id="rId2" Type="http://schemas.microsoft.com/office/2011/relationships/chartColorStyle" Target="colors48.xml"/>
</Relationships>
</file>

<file path=xl/charts/_rels/chart49.xml.rels><?xml version="1.0" encoding="UTF-8"?>
<Relationships xmlns="http://schemas.openxmlformats.org/package/2006/relationships"><Relationship Id="rId1" Type="http://schemas.microsoft.com/office/2011/relationships/chartStyle" Target="style49.xml"/><Relationship Id="rId2" Type="http://schemas.microsoft.com/office/2011/relationships/chartColorStyle" Target="colors49.xml"/>
</Relationships>
</file>

<file path=xl/charts/_rels/chart5.xml.rels><?xml version="1.0" encoding="UTF-8"?>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
</Relationships>
</file>

<file path=xl/charts/_rels/chart50.xml.rels><?xml version="1.0" encoding="UTF-8"?>
<Relationships xmlns="http://schemas.openxmlformats.org/package/2006/relationships"><Relationship Id="rId1" Type="http://schemas.microsoft.com/office/2011/relationships/chartStyle" Target="style50.xml"/><Relationship Id="rId2" Type="http://schemas.microsoft.com/office/2011/relationships/chartColorStyle" Target="colors50.xml"/>
</Relationships>
</file>

<file path=xl/charts/_rels/chart51.xml.rels><?xml version="1.0" encoding="UTF-8"?>
<Relationships xmlns="http://schemas.openxmlformats.org/package/2006/relationships"><Relationship Id="rId1" Type="http://schemas.microsoft.com/office/2011/relationships/chartStyle" Target="style51.xml"/><Relationship Id="rId2" Type="http://schemas.microsoft.com/office/2011/relationships/chartColorStyle" Target="colors51.xml"/>
</Relationships>
</file>

<file path=xl/charts/_rels/chart52.xml.rels><?xml version="1.0" encoding="UTF-8"?>
<Relationships xmlns="http://schemas.openxmlformats.org/package/2006/relationships"><Relationship Id="rId1" Type="http://schemas.microsoft.com/office/2011/relationships/chartStyle" Target="style52.xml"/><Relationship Id="rId2" Type="http://schemas.microsoft.com/office/2011/relationships/chartColorStyle" Target="colors52.xml"/>
</Relationships>
</file>

<file path=xl/charts/_rels/chart53.xml.rels><?xml version="1.0" encoding="UTF-8"?>
<Relationships xmlns="http://schemas.openxmlformats.org/package/2006/relationships"><Relationship Id="rId1" Type="http://schemas.microsoft.com/office/2011/relationships/chartStyle" Target="style53.xml"/><Relationship Id="rId2" Type="http://schemas.microsoft.com/office/2011/relationships/chartColorStyle" Target="colors53.xml"/>
</Relationships>
</file>

<file path=xl/charts/_rels/chart54.xml.rels><?xml version="1.0" encoding="UTF-8"?>
<Relationships xmlns="http://schemas.openxmlformats.org/package/2006/relationships"><Relationship Id="rId1" Type="http://schemas.microsoft.com/office/2011/relationships/chartStyle" Target="style54.xml"/><Relationship Id="rId2" Type="http://schemas.microsoft.com/office/2011/relationships/chartColorStyle" Target="colors54.xml"/>
</Relationships>
</file>

<file path=xl/charts/_rels/chart55.xml.rels><?xml version="1.0" encoding="UTF-8"?>
<Relationships xmlns="http://schemas.openxmlformats.org/package/2006/relationships"><Relationship Id="rId1" Type="http://schemas.microsoft.com/office/2011/relationships/chartStyle" Target="style55.xml"/><Relationship Id="rId2" Type="http://schemas.microsoft.com/office/2011/relationships/chartColorStyle" Target="colors55.xml"/>
</Relationships>
</file>

<file path=xl/charts/_rels/chart56.xml.rels><?xml version="1.0" encoding="UTF-8"?>
<Relationships xmlns="http://schemas.openxmlformats.org/package/2006/relationships"><Relationship Id="rId1" Type="http://schemas.microsoft.com/office/2011/relationships/chartStyle" Target="style56.xml"/><Relationship Id="rId2" Type="http://schemas.microsoft.com/office/2011/relationships/chartColorStyle" Target="colors56.xml"/>
</Relationships>
</file>

<file path=xl/charts/_rels/chart57.xml.rels><?xml version="1.0" encoding="UTF-8"?>
<Relationships xmlns="http://schemas.openxmlformats.org/package/2006/relationships"><Relationship Id="rId1" Type="http://schemas.microsoft.com/office/2011/relationships/chartStyle" Target="style57.xml"/><Relationship Id="rId2" Type="http://schemas.microsoft.com/office/2011/relationships/chartColorStyle" Target="colors57.xml"/>
</Relationships>
</file>

<file path=xl/charts/_rels/chart58.xml.rels><?xml version="1.0" encoding="UTF-8"?>
<Relationships xmlns="http://schemas.openxmlformats.org/package/2006/relationships"><Relationship Id="rId1" Type="http://schemas.microsoft.com/office/2011/relationships/chartStyle" Target="style58.xml"/><Relationship Id="rId2" Type="http://schemas.microsoft.com/office/2011/relationships/chartColorStyle" Target="colors58.xml"/>
</Relationships>
</file>

<file path=xl/charts/_rels/chart59.xml.rels><?xml version="1.0" encoding="UTF-8"?>
<Relationships xmlns="http://schemas.openxmlformats.org/package/2006/relationships"><Relationship Id="rId1" Type="http://schemas.microsoft.com/office/2011/relationships/chartStyle" Target="style59.xml"/><Relationship Id="rId2" Type="http://schemas.microsoft.com/office/2011/relationships/chartColorStyle" Target="colors59.xml"/>
</Relationships>
</file>

<file path=xl/charts/_rels/chart6.xml.rels><?xml version="1.0" encoding="UTF-8"?>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
</Relationships>
</file>

<file path=xl/charts/_rels/chart60.xml.rels><?xml version="1.0" encoding="UTF-8"?>
<Relationships xmlns="http://schemas.openxmlformats.org/package/2006/relationships"><Relationship Id="rId1" Type="http://schemas.microsoft.com/office/2011/relationships/chartStyle" Target="style60.xml"/><Relationship Id="rId2" Type="http://schemas.microsoft.com/office/2011/relationships/chartColorStyle" Target="colors60.xml"/>
</Relationships>
</file>

<file path=xl/charts/_rels/chart61.xml.rels><?xml version="1.0" encoding="UTF-8"?>
<Relationships xmlns="http://schemas.openxmlformats.org/package/2006/relationships"><Relationship Id="rId1" Type="http://schemas.microsoft.com/office/2011/relationships/chartStyle" Target="style61.xml"/><Relationship Id="rId2" Type="http://schemas.microsoft.com/office/2011/relationships/chartColorStyle" Target="colors61.xml"/>
</Relationships>
</file>

<file path=xl/charts/_rels/chart62.xml.rels><?xml version="1.0" encoding="UTF-8"?>
<Relationships xmlns="http://schemas.openxmlformats.org/package/2006/relationships"><Relationship Id="rId1" Type="http://schemas.microsoft.com/office/2011/relationships/chartStyle" Target="style62.xml"/><Relationship Id="rId2" Type="http://schemas.microsoft.com/office/2011/relationships/chartColorStyle" Target="colors62.xml"/>
</Relationships>
</file>

<file path=xl/charts/_rels/chart63.xml.rels><?xml version="1.0" encoding="UTF-8"?>
<Relationships xmlns="http://schemas.openxmlformats.org/package/2006/relationships"><Relationship Id="rId1" Type="http://schemas.microsoft.com/office/2011/relationships/chartStyle" Target="style63.xml"/><Relationship Id="rId2" Type="http://schemas.microsoft.com/office/2011/relationships/chartColorStyle" Target="colors63.xml"/>
</Relationships>
</file>

<file path=xl/charts/_rels/chart64.xml.rels><?xml version="1.0" encoding="UTF-8"?>
<Relationships xmlns="http://schemas.openxmlformats.org/package/2006/relationships"><Relationship Id="rId1" Type="http://schemas.microsoft.com/office/2011/relationships/chartStyle" Target="style64.xml"/><Relationship Id="rId2" Type="http://schemas.microsoft.com/office/2011/relationships/chartColorStyle" Target="colors64.xml"/>
</Relationships>
</file>

<file path=xl/charts/_rels/chart65.xml.rels><?xml version="1.0" encoding="UTF-8"?>
<Relationships xmlns="http://schemas.openxmlformats.org/package/2006/relationships"><Relationship Id="rId1" Type="http://schemas.microsoft.com/office/2011/relationships/chartStyle" Target="style65.xml"/><Relationship Id="rId2" Type="http://schemas.microsoft.com/office/2011/relationships/chartColorStyle" Target="colors65.xml"/>
</Relationships>
</file>

<file path=xl/charts/_rels/chart66.xml.rels><?xml version="1.0" encoding="UTF-8"?>
<Relationships xmlns="http://schemas.openxmlformats.org/package/2006/relationships"><Relationship Id="rId1" Type="http://schemas.microsoft.com/office/2011/relationships/chartStyle" Target="style66.xml"/><Relationship Id="rId2" Type="http://schemas.microsoft.com/office/2011/relationships/chartColorStyle" Target="colors66.xml"/>
</Relationships>
</file>

<file path=xl/charts/_rels/chart67.xml.rels><?xml version="1.0" encoding="UTF-8"?>
<Relationships xmlns="http://schemas.openxmlformats.org/package/2006/relationships"><Relationship Id="rId1" Type="http://schemas.microsoft.com/office/2011/relationships/chartStyle" Target="style67.xml"/><Relationship Id="rId2" Type="http://schemas.microsoft.com/office/2011/relationships/chartColorStyle" Target="colors67.xml"/>
</Relationships>
</file>

<file path=xl/charts/_rels/chart68.xml.rels><?xml version="1.0" encoding="UTF-8"?>
<Relationships xmlns="http://schemas.openxmlformats.org/package/2006/relationships"><Relationship Id="rId1" Type="http://schemas.microsoft.com/office/2011/relationships/chartStyle" Target="style68.xml"/><Relationship Id="rId2" Type="http://schemas.microsoft.com/office/2011/relationships/chartColorStyle" Target="colors68.xml"/>
</Relationships>
</file>

<file path=xl/charts/_rels/chart69.xml.rels><?xml version="1.0" encoding="UTF-8"?>
<Relationships xmlns="http://schemas.openxmlformats.org/package/2006/relationships"><Relationship Id="rId1" Type="http://schemas.microsoft.com/office/2011/relationships/chartStyle" Target="style69.xml"/><Relationship Id="rId2" Type="http://schemas.microsoft.com/office/2011/relationships/chartColorStyle" Target="colors69.xml"/>
</Relationships>
</file>

<file path=xl/charts/_rels/chart7.xml.rels><?xml version="1.0" encoding="UTF-8"?>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
</Relationships>
</file>

<file path=xl/charts/_rels/chart8.xml.rels><?xml version="1.0" encoding="UTF-8"?>
<Relationships xmlns="http://schemas.openxmlformats.org/package/2006/relationships"><Relationship Id="rId1" Type="http://schemas.microsoft.com/office/2011/relationships/chartStyle" Target="style8.xml"/><Relationship Id="rId2" Type="http://schemas.microsoft.com/office/2011/relationships/chartColorStyle" Target="colors8.xml"/>
</Relationships>
</file>

<file path=xl/charts/_rels/chart9.xml.rels><?xml version="1.0" encoding="UTF-8"?>
<Relationships xmlns="http://schemas.openxmlformats.org/package/2006/relationships"><Relationship Id="rId1" Type="http://schemas.microsoft.com/office/2011/relationships/chartStyle" Target="style9.xml"/><Relationship Id="rId2" Type="http://schemas.microsoft.com/office/2011/relationships/chartColorStyle" Target="colors9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67666466706659"/>
          <c:y val="0.145164656287825"/>
          <c:w val="0.649770045990802"/>
          <c:h val="0.66772402854877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Main!$A$11</c:f>
              <c:strCache>
                <c:ptCount val="1"/>
                <c:pt idx="0">
                  <c:v>Family Physician </c:v>
                </c:pt>
              </c:strCache>
            </c:strRef>
          </c:tx>
          <c:spPr>
            <a:solidFill>
              <a:srgbClr val="2A6099">
                <a:alpha val="6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Pt>
            <c:idx val="20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Main!$D$11:$AW$11</c:f>
              <c:numCache>
                <c:formatCode>#,##0</c:formatCode>
                <c:ptCount val="43"/>
                <c:pt idx="0">
                  <c:v>1123800.09</c:v>
                </c:pt>
                <c:pt idx="1">
                  <c:v>407160</c:v>
                </c:pt>
                <c:pt idx="2">
                  <c:v>1117203.63</c:v>
                </c:pt>
                <c:pt idx="3">
                  <c:v>830961.14</c:v>
                </c:pt>
                <c:pt idx="4">
                  <c:v>812706.8</c:v>
                </c:pt>
                <c:pt idx="5">
                  <c:v>1889284.75</c:v>
                </c:pt>
                <c:pt idx="6">
                  <c:v>1600446.39</c:v>
                </c:pt>
                <c:pt idx="7">
                  <c:v>295526.19</c:v>
                </c:pt>
                <c:pt idx="8">
                  <c:v>141768.09</c:v>
                </c:pt>
                <c:pt idx="9">
                  <c:v>73136.72</c:v>
                </c:pt>
                <c:pt idx="11">
                  <c:v>1958930.71</c:v>
                </c:pt>
                <c:pt idx="12">
                  <c:v>545422.29</c:v>
                </c:pt>
                <c:pt idx="13">
                  <c:v>2508000.96</c:v>
                </c:pt>
                <c:pt idx="14">
                  <c:v>0</c:v>
                </c:pt>
                <c:pt idx="15">
                  <c:v>669175.05</c:v>
                </c:pt>
                <c:pt idx="16">
                  <c:v>699092.41</c:v>
                </c:pt>
                <c:pt idx="17">
                  <c:v>379041.19</c:v>
                </c:pt>
                <c:pt idx="18">
                  <c:v>1193303.34</c:v>
                </c:pt>
                <c:pt idx="19">
                  <c:v>856887.29</c:v>
                </c:pt>
                <c:pt idx="20">
                  <c:v>61833.35</c:v>
                </c:pt>
                <c:pt idx="22">
                  <c:v>342036</c:v>
                </c:pt>
                <c:pt idx="23">
                  <c:v>300189</c:v>
                </c:pt>
                <c:pt idx="25">
                  <c:v>1987384</c:v>
                </c:pt>
                <c:pt idx="26">
                  <c:v>1452465</c:v>
                </c:pt>
                <c:pt idx="28">
                  <c:v>1457439</c:v>
                </c:pt>
                <c:pt idx="29">
                  <c:v>2238370</c:v>
                </c:pt>
                <c:pt idx="30">
                  <c:v>1250610</c:v>
                </c:pt>
                <c:pt idx="31">
                  <c:v>1376149</c:v>
                </c:pt>
                <c:pt idx="33">
                  <c:v>1320273.59</c:v>
                </c:pt>
                <c:pt idx="34">
                  <c:v>70000</c:v>
                </c:pt>
                <c:pt idx="35">
                  <c:v>1959717.45</c:v>
                </c:pt>
                <c:pt idx="36">
                  <c:v>4875029.05</c:v>
                </c:pt>
                <c:pt idx="37">
                  <c:v>1203395.8</c:v>
                </c:pt>
                <c:pt idx="38">
                  <c:v>871921.17</c:v>
                </c:pt>
                <c:pt idx="39">
                  <c:v>2115488.33</c:v>
                </c:pt>
                <c:pt idx="40">
                  <c:v>0</c:v>
                </c:pt>
                <c:pt idx="41">
                  <c:v>240351.86</c:v>
                </c:pt>
                <c:pt idx="42">
                  <c:v>81710.7</c:v>
                </c:pt>
              </c:numCache>
            </c:numRef>
          </c:val>
        </c:ser>
        <c:ser>
          <c:idx val="1"/>
          <c:order val="1"/>
          <c:tx>
            <c:strRef>
              <c:f>Main!$A$13</c:f>
              <c:strCache>
                <c:ptCount val="1"/>
                <c:pt idx="0">
                  <c:v>Nurse Practitioner</c:v>
                </c:pt>
              </c:strCache>
            </c:strRef>
          </c:tx>
          <c:spPr>
            <a:solidFill>
              <a:srgbClr val="2A6099">
                <a:alpha val="5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Main!$D$13:$AW$13</c:f>
              <c:numCache>
                <c:formatCode>#,##0</c:formatCode>
                <c:ptCount val="43"/>
                <c:pt idx="0">
                  <c:v>629036.65</c:v>
                </c:pt>
                <c:pt idx="3">
                  <c:v>902472.57</c:v>
                </c:pt>
                <c:pt idx="4">
                  <c:v>838326.04</c:v>
                </c:pt>
                <c:pt idx="5">
                  <c:v>855345.02</c:v>
                </c:pt>
                <c:pt idx="6">
                  <c:v>627387.57</c:v>
                </c:pt>
                <c:pt idx="8">
                  <c:v>106918.51</c:v>
                </c:pt>
                <c:pt idx="9">
                  <c:v>241501.52</c:v>
                </c:pt>
                <c:pt idx="11">
                  <c:v>48221.12</c:v>
                </c:pt>
                <c:pt idx="12">
                  <c:v>384465.83</c:v>
                </c:pt>
                <c:pt idx="13">
                  <c:v>402557.74</c:v>
                </c:pt>
                <c:pt idx="14">
                  <c:v>71012.61</c:v>
                </c:pt>
                <c:pt idx="15">
                  <c:v>506921.92</c:v>
                </c:pt>
                <c:pt idx="16">
                  <c:v>316993.66</c:v>
                </c:pt>
                <c:pt idx="17">
                  <c:v>365870.5</c:v>
                </c:pt>
                <c:pt idx="19">
                  <c:v>890174.48</c:v>
                </c:pt>
                <c:pt idx="20">
                  <c:v>139471.26</c:v>
                </c:pt>
                <c:pt idx="22">
                  <c:v>248866</c:v>
                </c:pt>
                <c:pt idx="25">
                  <c:v>863497</c:v>
                </c:pt>
                <c:pt idx="26">
                  <c:v>1003275</c:v>
                </c:pt>
                <c:pt idx="28">
                  <c:v>793767</c:v>
                </c:pt>
                <c:pt idx="29">
                  <c:v>1042985</c:v>
                </c:pt>
                <c:pt idx="30">
                  <c:v>973786</c:v>
                </c:pt>
                <c:pt idx="31">
                  <c:v>581010</c:v>
                </c:pt>
                <c:pt idx="33">
                  <c:v>178166</c:v>
                </c:pt>
                <c:pt idx="34">
                  <c:v>73984.34</c:v>
                </c:pt>
                <c:pt idx="37">
                  <c:v>157410.55</c:v>
                </c:pt>
                <c:pt idx="38">
                  <c:v>81594.07</c:v>
                </c:pt>
                <c:pt idx="39">
                  <c:v>769432.41</c:v>
                </c:pt>
                <c:pt idx="42">
                  <c:v>97778.63</c:v>
                </c:pt>
              </c:numCache>
            </c:numRef>
          </c:val>
        </c:ser>
        <c:ser>
          <c:idx val="2"/>
          <c:order val="2"/>
          <c:tx>
            <c:strRef>
              <c:f>Main!$A$15</c:f>
              <c:strCache>
                <c:ptCount val="1"/>
                <c:pt idx="0">
                  <c:v>Nursing</c:v>
                </c:pt>
              </c:strCache>
            </c:strRef>
          </c:tx>
          <c:spPr>
            <a:solidFill>
              <a:srgbClr val="158466">
                <a:alpha val="5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158466">
                  <a:alpha val="5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Main!$D$15:$AW$15</c:f>
              <c:numCache>
                <c:formatCode>#,##0</c:formatCode>
                <c:ptCount val="43"/>
                <c:pt idx="0">
                  <c:v>1665721.04</c:v>
                </c:pt>
                <c:pt idx="1">
                  <c:v>875828.35</c:v>
                </c:pt>
                <c:pt idx="2">
                  <c:v>1367764.11</c:v>
                </c:pt>
                <c:pt idx="3">
                  <c:v>1136683</c:v>
                </c:pt>
                <c:pt idx="4">
                  <c:v>1221795.63</c:v>
                </c:pt>
                <c:pt idx="5">
                  <c:v>1328645.62</c:v>
                </c:pt>
                <c:pt idx="6">
                  <c:v>1872409.45</c:v>
                </c:pt>
                <c:pt idx="7">
                  <c:v>736632.87</c:v>
                </c:pt>
                <c:pt idx="8">
                  <c:v>776292.09</c:v>
                </c:pt>
                <c:pt idx="9">
                  <c:v>1569845.63</c:v>
                </c:pt>
                <c:pt idx="11">
                  <c:v>984926.41</c:v>
                </c:pt>
                <c:pt idx="12">
                  <c:v>1657580.73</c:v>
                </c:pt>
                <c:pt idx="13">
                  <c:v>1934968.53</c:v>
                </c:pt>
                <c:pt idx="14">
                  <c:v>720717.11</c:v>
                </c:pt>
                <c:pt idx="15">
                  <c:v>1426569.06</c:v>
                </c:pt>
                <c:pt idx="16">
                  <c:v>861891.04</c:v>
                </c:pt>
                <c:pt idx="17">
                  <c:v>1532673.19</c:v>
                </c:pt>
                <c:pt idx="18">
                  <c:v>1195804.54</c:v>
                </c:pt>
                <c:pt idx="19">
                  <c:v>2033558.15</c:v>
                </c:pt>
                <c:pt idx="20">
                  <c:v>727539.36</c:v>
                </c:pt>
                <c:pt idx="22">
                  <c:v>175453</c:v>
                </c:pt>
                <c:pt idx="23">
                  <c:v>656167</c:v>
                </c:pt>
                <c:pt idx="25">
                  <c:v>2028877</c:v>
                </c:pt>
                <c:pt idx="26">
                  <c:v>1459240</c:v>
                </c:pt>
                <c:pt idx="28">
                  <c:v>1704628</c:v>
                </c:pt>
                <c:pt idx="29">
                  <c:v>2555314</c:v>
                </c:pt>
                <c:pt idx="30">
                  <c:v>1674434</c:v>
                </c:pt>
                <c:pt idx="31">
                  <c:v>2185050</c:v>
                </c:pt>
                <c:pt idx="33">
                  <c:v>1061336</c:v>
                </c:pt>
                <c:pt idx="34">
                  <c:v>71434</c:v>
                </c:pt>
                <c:pt idx="35">
                  <c:v>1249601</c:v>
                </c:pt>
                <c:pt idx="36">
                  <c:v>2312172</c:v>
                </c:pt>
                <c:pt idx="37">
                  <c:v>1297969</c:v>
                </c:pt>
                <c:pt idx="38">
                  <c:v>1326879</c:v>
                </c:pt>
                <c:pt idx="39">
                  <c:v>1638035</c:v>
                </c:pt>
                <c:pt idx="40">
                  <c:v>723892</c:v>
                </c:pt>
                <c:pt idx="41">
                  <c:v>163146</c:v>
                </c:pt>
                <c:pt idx="42">
                  <c:v>347689</c:v>
                </c:pt>
              </c:numCache>
            </c:numRef>
          </c:val>
        </c:ser>
        <c:ser>
          <c:idx val="3"/>
          <c:order val="3"/>
          <c:tx>
            <c:strRef>
              <c:f>Main!$A$93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B5E9B">
                <a:alpha val="5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Main!$D$93:$AW$93</c:f>
              <c:numCache>
                <c:formatCode>#,##0</c:formatCode>
                <c:ptCount val="43"/>
                <c:pt idx="0">
                  <c:v>180866.18</c:v>
                </c:pt>
                <c:pt idx="1">
                  <c:v>236330.35</c:v>
                </c:pt>
                <c:pt idx="2">
                  <c:v>285217.11</c:v>
                </c:pt>
                <c:pt idx="3">
                  <c:v>336502.48</c:v>
                </c:pt>
                <c:pt idx="4">
                  <c:v>203596.59</c:v>
                </c:pt>
                <c:pt idx="5">
                  <c:v>374875.31</c:v>
                </c:pt>
                <c:pt idx="6">
                  <c:v>408919.5</c:v>
                </c:pt>
                <c:pt idx="7">
                  <c:v>36641.25</c:v>
                </c:pt>
                <c:pt idx="8">
                  <c:v>44234.61</c:v>
                </c:pt>
                <c:pt idx="9">
                  <c:v>224913.12</c:v>
                </c:pt>
                <c:pt idx="11">
                  <c:v>518668.31</c:v>
                </c:pt>
                <c:pt idx="12">
                  <c:v>643221.98</c:v>
                </c:pt>
                <c:pt idx="13">
                  <c:v>546344.17</c:v>
                </c:pt>
                <c:pt idx="14">
                  <c:v>452252.16</c:v>
                </c:pt>
                <c:pt idx="15">
                  <c:v>805376.43</c:v>
                </c:pt>
                <c:pt idx="16">
                  <c:v>362558.23</c:v>
                </c:pt>
                <c:pt idx="17">
                  <c:v>311162.52</c:v>
                </c:pt>
                <c:pt idx="18">
                  <c:v>108180.53</c:v>
                </c:pt>
                <c:pt idx="19">
                  <c:v>574823.86</c:v>
                </c:pt>
                <c:pt idx="20">
                  <c:v>107988.77</c:v>
                </c:pt>
                <c:pt idx="22">
                  <c:v>106687</c:v>
                </c:pt>
                <c:pt idx="23">
                  <c:v>331927</c:v>
                </c:pt>
                <c:pt idx="25">
                  <c:v>0</c:v>
                </c:pt>
                <c:pt idx="26">
                  <c:v>166324</c:v>
                </c:pt>
                <c:pt idx="27">
                  <c:v>0</c:v>
                </c:pt>
                <c:pt idx="28">
                  <c:v>195585</c:v>
                </c:pt>
                <c:pt idx="29">
                  <c:v>271999</c:v>
                </c:pt>
                <c:pt idx="30">
                  <c:v>133129</c:v>
                </c:pt>
                <c:pt idx="31">
                  <c:v>422396</c:v>
                </c:pt>
                <c:pt idx="33">
                  <c:v>229885</c:v>
                </c:pt>
                <c:pt idx="34">
                  <c:v>381454</c:v>
                </c:pt>
                <c:pt idx="35">
                  <c:v>284191</c:v>
                </c:pt>
                <c:pt idx="36">
                  <c:v>542776</c:v>
                </c:pt>
                <c:pt idx="37">
                  <c:v>416360</c:v>
                </c:pt>
                <c:pt idx="38">
                  <c:v>547200</c:v>
                </c:pt>
                <c:pt idx="39">
                  <c:v>336037</c:v>
                </c:pt>
                <c:pt idx="40">
                  <c:v>223213.39</c:v>
                </c:pt>
                <c:pt idx="41">
                  <c:v>46022.29</c:v>
                </c:pt>
                <c:pt idx="42">
                  <c:v>46411.56</c:v>
                </c:pt>
              </c:numCache>
            </c:numRef>
          </c:val>
        </c:ser>
        <c:ser>
          <c:idx val="4"/>
          <c:order val="4"/>
          <c:tx>
            <c:strRef>
              <c:f>Main!$A$23</c:f>
              <c:strCache>
                <c:ptCount val="1"/>
                <c:pt idx="0">
                  <c:v>Overhead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0">
              <a:noFill/>
            </a:ln>
          </c:spPr>
          <c:invertIfNegative val="0"/>
          <c:dPt>
            <c:idx val="19"/>
            <c:invertIfNegative val="0"/>
            <c:spPr>
              <a:solidFill>
                <a:srgbClr val="000000">
                  <a:alpha val="50000"/>
                </a:srgbClr>
              </a:solidFill>
              <a:ln w="0">
                <a:noFill/>
              </a:ln>
            </c:spPr>
          </c:dPt>
          <c:dLbls>
            <c:dLbl>
              <c:idx val="19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Main!$D$23:$AW$23</c:f>
              <c:numCache>
                <c:formatCode>#,##0</c:formatCode>
                <c:ptCount val="43"/>
                <c:pt idx="1">
                  <c:v>994714.66</c:v>
                </c:pt>
                <c:pt idx="2">
                  <c:v>1000764.04</c:v>
                </c:pt>
                <c:pt idx="3">
                  <c:v>1447389.5</c:v>
                </c:pt>
                <c:pt idx="4">
                  <c:v>1241210</c:v>
                </c:pt>
                <c:pt idx="5">
                  <c:v>2166284.8</c:v>
                </c:pt>
                <c:pt idx="6">
                  <c:v>2086262.11</c:v>
                </c:pt>
                <c:pt idx="7">
                  <c:v>566040.24</c:v>
                </c:pt>
                <c:pt idx="8">
                  <c:v>610515.07</c:v>
                </c:pt>
                <c:pt idx="9">
                  <c:v>1784839.21</c:v>
                </c:pt>
                <c:pt idx="11">
                  <c:v>1656716.9</c:v>
                </c:pt>
                <c:pt idx="12">
                  <c:v>1164746.4</c:v>
                </c:pt>
                <c:pt idx="13">
                  <c:v>1734729.12</c:v>
                </c:pt>
                <c:pt idx="14">
                  <c:v>560964.4</c:v>
                </c:pt>
                <c:pt idx="15">
                  <c:v>1241782.2</c:v>
                </c:pt>
                <c:pt idx="16">
                  <c:v>1279475.24</c:v>
                </c:pt>
                <c:pt idx="17">
                  <c:v>1152205.03</c:v>
                </c:pt>
                <c:pt idx="18">
                  <c:v>835475.81</c:v>
                </c:pt>
                <c:pt idx="19">
                  <c:v>1513920.3</c:v>
                </c:pt>
                <c:pt idx="20">
                  <c:v>634752.33</c:v>
                </c:pt>
                <c:pt idx="22">
                  <c:v>289179</c:v>
                </c:pt>
                <c:pt idx="23">
                  <c:v>674673</c:v>
                </c:pt>
                <c:pt idx="25">
                  <c:v>3133578</c:v>
                </c:pt>
                <c:pt idx="26">
                  <c:v>2082675</c:v>
                </c:pt>
                <c:pt idx="28">
                  <c:v>1568131</c:v>
                </c:pt>
                <c:pt idx="29">
                  <c:v>2173456</c:v>
                </c:pt>
                <c:pt idx="30">
                  <c:v>1491519</c:v>
                </c:pt>
                <c:pt idx="31">
                  <c:v>1797597</c:v>
                </c:pt>
                <c:pt idx="33">
                  <c:v>1846759.99</c:v>
                </c:pt>
                <c:pt idx="34">
                  <c:v>1389585.08</c:v>
                </c:pt>
                <c:pt idx="35">
                  <c:v>1472943.45</c:v>
                </c:pt>
                <c:pt idx="36">
                  <c:v>2566804.37</c:v>
                </c:pt>
                <c:pt idx="37">
                  <c:v>1469018.35</c:v>
                </c:pt>
                <c:pt idx="38">
                  <c:v>1574454.08</c:v>
                </c:pt>
                <c:pt idx="39">
                  <c:v>1250993.1</c:v>
                </c:pt>
                <c:pt idx="40">
                  <c:v>1651719.89</c:v>
                </c:pt>
                <c:pt idx="41">
                  <c:v>277535.4</c:v>
                </c:pt>
                <c:pt idx="42">
                  <c:v>397105.3</c:v>
                </c:pt>
              </c:numCache>
            </c:numRef>
          </c:val>
        </c:ser>
        <c:gapWidth val="20"/>
        <c:overlap val="100"/>
        <c:axId val="88573349"/>
        <c:axId val="81257117"/>
      </c:barChart>
      <c:catAx>
        <c:axId val="88573349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81257117"/>
        <c:crosses val="autoZero"/>
        <c:auto val="1"/>
        <c:lblAlgn val="ctr"/>
        <c:lblOffset val="100"/>
        <c:noMultiLvlLbl val="0"/>
      </c:catAx>
      <c:valAx>
        <c:axId val="81257117"/>
        <c:scaling>
          <c:orientation val="minMax"/>
          <c:max val="11000000"/>
          <c:min val="0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\$0,,\M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88573349"/>
        <c:crosses val="autoZero"/>
        <c:crossBetween val="midCat"/>
        <c:majorUnit val="1000000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400" b="1" u="none" strike="noStrike">
                <a:solidFill>
                  <a:srgbClr val="808080"/>
                </a:solidFill>
                <a:uFillTx/>
                <a:latin typeface="Arial"/>
                <a:ea typeface="DejaVu Sans"/>
              </a:rPr>
              <a:t>Operating Costs</a:t>
            </a:r>
          </a:p>
        </c:rich>
      </c:tx>
      <c:layout>
        <c:manualLayout>
          <c:xMode val="edge"/>
          <c:yMode val="edge"/>
          <c:x val="0.267665418227216"/>
          <c:y val="0.00033333333333333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50249687890137"/>
          <c:y val="0.07925"/>
          <c:w val="0.249375780274657"/>
          <c:h val="0.3328333333333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Main!$A$283</c:f>
              <c:strCache>
                <c:ptCount val="1"/>
                <c:pt idx="0">
                  <c:v>Overhead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Main!$D$283:$F$283</c:f>
              <c:numCache>
                <c:formatCode>#,##0</c:formatCode>
                <c:ptCount val="3"/>
                <c:pt idx="0">
                  <c:v>28790918</c:v>
                </c:pt>
                <c:pt idx="1">
                  <c:v>40290765</c:v>
                </c:pt>
                <c:pt idx="2">
                  <c:v>52487763.36</c:v>
                </c:pt>
              </c:numCache>
            </c:numRef>
          </c:val>
        </c:ser>
        <c:ser>
          <c:idx val="1"/>
          <c:order val="1"/>
          <c:tx>
            <c:strRef>
              <c:f>Main!$A$295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B5E9B">
                <a:alpha val="5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Main!$D$295:$F$295</c:f>
              <c:numCache>
                <c:formatCode>#,##0</c:formatCode>
                <c:ptCount val="3"/>
                <c:pt idx="0">
                  <c:v>11251564</c:v>
                </c:pt>
                <c:pt idx="1">
                  <c:v>9196874</c:v>
                </c:pt>
                <c:pt idx="2">
                  <c:v>11526734.51</c:v>
                </c:pt>
              </c:numCache>
            </c:numRef>
          </c:val>
        </c:ser>
        <c:ser>
          <c:idx val="2"/>
          <c:order val="2"/>
          <c:tx>
            <c:strRef>
              <c:f>Main!$A$282</c:f>
              <c:strCache>
                <c:ptCount val="1"/>
                <c:pt idx="0">
                  <c:v>Nursing</c:v>
                </c:pt>
              </c:strCache>
            </c:strRef>
          </c:tx>
          <c:spPr>
            <a:solidFill>
              <a:srgbClr val="158466">
                <a:alpha val="5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Main!$D$282:$F$282</c:f>
              <c:numCache>
                <c:formatCode>#,##0</c:formatCode>
                <c:ptCount val="3"/>
                <c:pt idx="0">
                  <c:v>20531791</c:v>
                </c:pt>
                <c:pt idx="1">
                  <c:v>37953373</c:v>
                </c:pt>
                <c:pt idx="2">
                  <c:v>48480872.34</c:v>
                </c:pt>
              </c:numCache>
            </c:numRef>
          </c:val>
        </c:ser>
        <c:ser>
          <c:idx val="3"/>
          <c:order val="3"/>
          <c:tx>
            <c:strRef>
              <c:f>Main!$A$281</c:f>
              <c:strCache>
                <c:ptCount val="1"/>
                <c:pt idx="0">
                  <c:v>Primary Care</c:v>
                </c:pt>
              </c:strCache>
            </c:strRef>
          </c:tx>
          <c:spPr>
            <a:solidFill>
              <a:srgbClr val="2A6099">
                <a:alpha val="5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Main!$D$281:$F$281</c:f>
              <c:numCache>
                <c:formatCode>#,##0</c:formatCode>
                <c:ptCount val="3"/>
                <c:pt idx="0">
                  <c:v>29083907</c:v>
                </c:pt>
                <c:pt idx="1">
                  <c:v>43293301</c:v>
                </c:pt>
                <c:pt idx="2">
                  <c:v>54644755.44</c:v>
                </c:pt>
              </c:numCache>
            </c:numRef>
          </c:val>
        </c:ser>
        <c:gapWidth val="30"/>
        <c:overlap val="100"/>
        <c:axId val="45421070"/>
        <c:axId val="161139"/>
      </c:barChart>
      <c:catAx>
        <c:axId val="4542107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161139"/>
        <c:crosses val="autoZero"/>
        <c:auto val="1"/>
        <c:lblAlgn val="ctr"/>
        <c:lblOffset val="100"/>
        <c:noMultiLvlLbl val="0"/>
      </c:catAx>
      <c:valAx>
        <c:axId val="161139"/>
        <c:scaling>
          <c:orientation val="minMax"/>
        </c:scaling>
        <c:delete val="0"/>
        <c:axPos val="l"/>
        <c:numFmt formatCode="\$0,,\M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4542107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400" b="1" u="none" strike="noStrike">
                <a:solidFill>
                  <a:srgbClr val="808080"/>
                </a:solidFill>
                <a:uFillTx/>
                <a:latin typeface="Arial"/>
                <a:ea typeface="DejaVu Sans"/>
              </a:rPr>
              <a:t>Costs as % Budgeted</a:t>
            </a:r>
          </a:p>
        </c:rich>
      </c:tx>
      <c:layout>
        <c:manualLayout>
          <c:xMode val="edge"/>
          <c:yMode val="edge"/>
          <c:x val="0.00594474880522205"/>
          <c:y val="0.0040961223375204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692388390255"/>
          <c:y val="0.12206444565811"/>
          <c:w val="0.465788553444457"/>
          <c:h val="0.409066084107045"/>
        </c:manualLayout>
      </c:layout>
      <c:lineChart>
        <c:grouping val="standard"/>
        <c:varyColors val="0"/>
        <c:ser>
          <c:idx val="0"/>
          <c:order val="0"/>
          <c:tx>
            <c:strRef>
              <c:f>Main!$A$290</c:f>
              <c:strCache>
                <c:ptCount val="1"/>
                <c:pt idx="0">
                  <c:v>Family Physician </c:v>
                </c:pt>
              </c:strCache>
            </c:strRef>
          </c:tx>
          <c:spPr>
            <a:solidFill>
              <a:srgbClr val="2A6099">
                <a:alpha val="60000"/>
              </a:srgbClr>
            </a:solidFill>
            <a:ln w="72000">
              <a:solidFill>
                <a:srgbClr val="2A6099">
                  <a:alpha val="60000"/>
                </a:srgbClr>
              </a:solidFill>
              <a:round/>
            </a:ln>
          </c:spPr>
          <c:marker>
            <c:symbol val="circle"/>
            <c:size val="10"/>
            <c:spPr>
              <a:solidFill>
                <a:srgbClr val="2A6099"/>
              </a:solidFill>
            </c:spPr>
          </c:marker>
          <c:dPt>
            <c:idx val="2"/>
            <c:marker>
              <c:symbol val="circle"/>
              <c:size val="10"/>
              <c:spPr>
                <a:solidFill>
                  <a:srgbClr val="2A6099"/>
                </a:solidFill>
              </c:spPr>
            </c:marker>
          </c:dPt>
          <c:dLbls>
            <c:dLbl>
              <c:idx val="2"/>
              <c:numFmt formatCode="0.00%" sourceLinked="0"/>
              <c:txPr>
                <a:bodyPr wrap="none"/>
                <a:lstStyle/>
                <a:p>
                  <a:pPr>
                    <a:defRPr sz="1100" b="0" u="none" strike="noStrike">
                      <a:solidFill>
                        <a:srgbClr val="666666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720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Main!$D$290:$F$290</c:f>
              <c:numCache>
                <c:formatCode>0.00%</c:formatCode>
                <c:ptCount val="3"/>
                <c:pt idx="0">
                  <c:v>0.69892966426886</c:v>
                </c:pt>
                <c:pt idx="1">
                  <c:v>0.839985383076663</c:v>
                </c:pt>
                <c:pt idx="2">
                  <c:v>0.79779249782117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808080"/>
            </a:solidFill>
            <a:ln w="28800">
              <a:solidFill>
                <a:srgbClr val="808080"/>
              </a:solidFill>
              <a:prstDash val="sysDot"/>
              <a:round/>
            </a:ln>
          </c:spPr>
          <c:marker>
            <c:symbol val="none"/>
          </c:marker>
          <c:dPt>
            <c:idx val="2"/>
            <c:marker>
              <c:symbol val="none"/>
            </c:marker>
          </c:dPt>
          <c:dLbls>
            <c:dLbl>
              <c:idx val="2"/>
              <c:numFmt formatCode="0.00%" sourceLinked="0"/>
              <c:txPr>
                <a:bodyPr wrap="none"/>
                <a:lstStyle/>
                <a:p>
                  <a:pPr>
                    <a:defRPr sz="800" b="0" u="none" strike="noStrike">
                      <a:solidFill>
                        <a:srgbClr val="999999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  <a:prstDash val="sysDot"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Main!$D$304:$F$304</c:f>
              <c:numCache>
                <c:formatCode>0.00%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519869"/>
        <c:axId val="28022695"/>
      </c:lineChart>
      <c:catAx>
        <c:axId val="1351986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28022695"/>
        <c:crosses val="autoZero"/>
        <c:auto val="1"/>
        <c:lblAlgn val="ctr"/>
        <c:lblOffset val="100"/>
        <c:noMultiLvlLbl val="0"/>
      </c:catAx>
      <c:valAx>
        <c:axId val="28022695"/>
        <c:scaling>
          <c:orientation val="minMax"/>
          <c:max val="1.6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13519869"/>
        <c:crosses val="autoZero"/>
        <c:crossBetween val="between"/>
        <c:majorUnit val="0.2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232112290311537"/>
          <c:y val="0.0415565830030823"/>
          <c:w val="0.570352618966107"/>
          <c:h val="0.880504183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Main!$C$95</c:f>
              <c:strCache>
                <c:ptCount val="1"/>
                <c:pt idx="0">
                  <c:v>%Budgeted</c:v>
                </c:pt>
              </c:strCache>
            </c:strRef>
          </c:tx>
          <c:spPr>
            <a:solidFill>
              <a:srgbClr val="2A6099">
                <a:alpha val="6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Pt>
            <c:idx val="25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Pt>
            <c:idx val="26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Pt>
            <c:idx val="33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Pt>
            <c:idx val="36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Pt>
            <c:idx val="40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Pt>
            <c:idx val="42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8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9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5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6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3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6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0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2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900" b="0" u="none" strike="noStrike">
                    <a:solidFill>
                      <a:srgbClr val="80808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Main!$D$95:$AW$95</c:f>
              <c:numCache>
                <c:formatCode>0.00%</c:formatCode>
                <c:ptCount val="43"/>
                <c:pt idx="0">
                  <c:v>0.790439607686243</c:v>
                </c:pt>
                <c:pt idx="1">
                  <c:v>0.968926436837519</c:v>
                </c:pt>
                <c:pt idx="2">
                  <c:v>0.844251663862579</c:v>
                </c:pt>
                <c:pt idx="3">
                  <c:v>0.740341991985864</c:v>
                </c:pt>
                <c:pt idx="4">
                  <c:v>0.638714565273772</c:v>
                </c:pt>
                <c:pt idx="5">
                  <c:v>1.35110267115862</c:v>
                </c:pt>
                <c:pt idx="6">
                  <c:v>0.837968887636452</c:v>
                </c:pt>
                <c:pt idx="7">
                  <c:v>0.655749461201445</c:v>
                </c:pt>
                <c:pt idx="8">
                  <c:v>0.430765650453805</c:v>
                </c:pt>
                <c:pt idx="9">
                  <c:v>0.0649138386800836</c:v>
                </c:pt>
                <c:pt idx="11">
                  <c:v>1.11649411206919</c:v>
                </c:pt>
                <c:pt idx="12">
                  <c:v>0.802121564540793</c:v>
                </c:pt>
                <c:pt idx="13">
                  <c:v>1.6288802487837</c:v>
                </c:pt>
                <c:pt idx="15">
                  <c:v>1.23453403439475</c:v>
                </c:pt>
                <c:pt idx="16">
                  <c:v>0.628414267695447</c:v>
                </c:pt>
                <c:pt idx="17">
                  <c:v>0.347038760804505</c:v>
                </c:pt>
                <c:pt idx="18">
                  <c:v>1.08779812608997</c:v>
                </c:pt>
                <c:pt idx="19">
                  <c:v>0.522791883067372</c:v>
                </c:pt>
                <c:pt idx="20">
                  <c:v>0.035661888705408</c:v>
                </c:pt>
                <c:pt idx="22">
                  <c:v>1.38238254016369</c:v>
                </c:pt>
                <c:pt idx="23">
                  <c:v>1.65961497954154</c:v>
                </c:pt>
                <c:pt idx="25">
                  <c:v>2.32949236326148</c:v>
                </c:pt>
                <c:pt idx="26">
                  <c:v>1.3826468639576</c:v>
                </c:pt>
                <c:pt idx="28">
                  <c:v>1.15233015970565</c:v>
                </c:pt>
                <c:pt idx="29">
                  <c:v>0.8929338818158</c:v>
                </c:pt>
                <c:pt idx="30">
                  <c:v>0.974237460014206</c:v>
                </c:pt>
                <c:pt idx="31">
                  <c:v>0.999740785692724</c:v>
                </c:pt>
                <c:pt idx="33">
                  <c:v>0.729601004987326</c:v>
                </c:pt>
                <c:pt idx="34">
                  <c:v>0.0796499253788296</c:v>
                </c:pt>
                <c:pt idx="35">
                  <c:v>1.06955690055354</c:v>
                </c:pt>
                <c:pt idx="36">
                  <c:v>1.2147214960958</c:v>
                </c:pt>
                <c:pt idx="37">
                  <c:v>0.676687741958956</c:v>
                </c:pt>
                <c:pt idx="38">
                  <c:v>0.53291713590942</c:v>
                </c:pt>
                <c:pt idx="39">
                  <c:v>1.11332372345377</c:v>
                </c:pt>
                <c:pt idx="41">
                  <c:v>0.392069014965991</c:v>
                </c:pt>
                <c:pt idx="42">
                  <c:v>0.266205742534176</c:v>
                </c:pt>
              </c:numCache>
            </c:numRef>
          </c:val>
        </c:ser>
        <c:gapWidth val="20"/>
        <c:overlap val="0"/>
        <c:axId val="36062925"/>
        <c:axId val="14896191"/>
      </c:barChart>
      <c:catAx>
        <c:axId val="36062925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14896191"/>
        <c:crosses val="autoZero"/>
        <c:auto val="1"/>
        <c:lblAlgn val="ctr"/>
        <c:lblOffset val="100"/>
        <c:noMultiLvlLbl val="0"/>
      </c:catAx>
      <c:valAx>
        <c:axId val="14896191"/>
        <c:scaling>
          <c:orientation val="minMax"/>
          <c:max val="3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36062925"/>
        <c:crosses val="autoZero"/>
        <c:crossBetween val="midCat"/>
        <c:majorUnit val="1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318029700899393"/>
          <c:y val="0.0709923265647022"/>
          <c:w val="0.522589416440075"/>
          <c:h val="0.8349950409771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Main!$C$10</c:f>
              <c:strCache>
                <c:ptCount val="1"/>
                <c:pt idx="0">
                  <c:v>$ Budgeted</c:v>
                </c:pt>
              </c:strCache>
            </c:strRef>
          </c:tx>
          <c:spPr>
            <a:solidFill>
              <a:srgbClr val="2A6099">
                <a:alpha val="3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2A6099">
                  <a:alpha val="3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Main!$D$10:$AW$10</c:f>
              <c:numCache>
                <c:formatCode>#,##0</c:formatCode>
                <c:ptCount val="43"/>
                <c:pt idx="0">
                  <c:v>1421740.61</c:v>
                </c:pt>
                <c:pt idx="1">
                  <c:v>420217.66</c:v>
                </c:pt>
                <c:pt idx="2">
                  <c:v>1323306.4</c:v>
                </c:pt>
                <c:pt idx="3">
                  <c:v>1122401.74</c:v>
                </c:pt>
                <c:pt idx="4">
                  <c:v>1272410</c:v>
                </c:pt>
                <c:pt idx="5">
                  <c:v>1398328.04</c:v>
                </c:pt>
                <c:pt idx="6">
                  <c:v>1909911.47</c:v>
                </c:pt>
                <c:pt idx="7">
                  <c:v>450669.36</c:v>
                </c:pt>
                <c:pt idx="8">
                  <c:v>329107.23</c:v>
                </c:pt>
                <c:pt idx="9">
                  <c:v>1126673.78</c:v>
                </c:pt>
                <c:pt idx="11">
                  <c:v>1754537.43</c:v>
                </c:pt>
                <c:pt idx="12">
                  <c:v>679974.6</c:v>
                </c:pt>
                <c:pt idx="13">
                  <c:v>1539708.62</c:v>
                </c:pt>
                <c:pt idx="14">
                  <c:v>0</c:v>
                </c:pt>
                <c:pt idx="15">
                  <c:v>542046.66</c:v>
                </c:pt>
                <c:pt idx="16">
                  <c:v>1112470.62</c:v>
                </c:pt>
                <c:pt idx="17">
                  <c:v>1092215.72</c:v>
                </c:pt>
                <c:pt idx="18">
                  <c:v>1096989.7</c:v>
                </c:pt>
                <c:pt idx="19">
                  <c:v>1639060.05</c:v>
                </c:pt>
                <c:pt idx="20">
                  <c:v>1733877.6</c:v>
                </c:pt>
                <c:pt idx="22">
                  <c:v>247425</c:v>
                </c:pt>
                <c:pt idx="23">
                  <c:v>180878.7</c:v>
                </c:pt>
                <c:pt idx="25">
                  <c:v>853140.38</c:v>
                </c:pt>
                <c:pt idx="26">
                  <c:v>1050496</c:v>
                </c:pt>
                <c:pt idx="28">
                  <c:v>1264775.54</c:v>
                </c:pt>
                <c:pt idx="29">
                  <c:v>2506758.95</c:v>
                </c:pt>
                <c:pt idx="30">
                  <c:v>1283680.88</c:v>
                </c:pt>
                <c:pt idx="31">
                  <c:v>1376505.81</c:v>
                </c:pt>
                <c:pt idx="33">
                  <c:v>1809583.02</c:v>
                </c:pt>
                <c:pt idx="34">
                  <c:v>878845.77</c:v>
                </c:pt>
                <c:pt idx="35">
                  <c:v>1832270.4</c:v>
                </c:pt>
                <c:pt idx="36">
                  <c:v>4013289.52</c:v>
                </c:pt>
                <c:pt idx="37">
                  <c:v>1778362.05</c:v>
                </c:pt>
                <c:pt idx="38">
                  <c:v>1636128.98</c:v>
                </c:pt>
                <c:pt idx="39">
                  <c:v>1900155.62</c:v>
                </c:pt>
                <c:pt idx="40">
                  <c:v>0</c:v>
                </c:pt>
                <c:pt idx="41">
                  <c:v>613034.57</c:v>
                </c:pt>
                <c:pt idx="42">
                  <c:v>306945.67</c:v>
                </c:pt>
              </c:numCache>
            </c:numRef>
          </c:val>
        </c:ser>
        <c:ser>
          <c:idx val="1"/>
          <c:order val="1"/>
          <c:tx>
            <c:strRef>
              <c:f>Main!$C$11</c:f>
              <c:strCache>
                <c:ptCount val="1"/>
                <c:pt idx="0">
                  <c:v>$ Actual</c:v>
                </c:pt>
              </c:strCache>
            </c:strRef>
          </c:tx>
          <c:spPr>
            <a:solidFill>
              <a:srgbClr val="2A6099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Main!$D$11:$AW$11</c:f>
              <c:numCache>
                <c:formatCode>#,##0</c:formatCode>
                <c:ptCount val="43"/>
                <c:pt idx="0">
                  <c:v>1123800.09</c:v>
                </c:pt>
                <c:pt idx="1">
                  <c:v>407160</c:v>
                </c:pt>
                <c:pt idx="2">
                  <c:v>1117203.63</c:v>
                </c:pt>
                <c:pt idx="3">
                  <c:v>830961.14</c:v>
                </c:pt>
                <c:pt idx="4">
                  <c:v>812706.8</c:v>
                </c:pt>
                <c:pt idx="5">
                  <c:v>1889284.75</c:v>
                </c:pt>
                <c:pt idx="6">
                  <c:v>1600446.39</c:v>
                </c:pt>
                <c:pt idx="7">
                  <c:v>295526.19</c:v>
                </c:pt>
                <c:pt idx="8">
                  <c:v>141768.09</c:v>
                </c:pt>
                <c:pt idx="9">
                  <c:v>73136.72</c:v>
                </c:pt>
                <c:pt idx="11">
                  <c:v>1958930.71</c:v>
                </c:pt>
                <c:pt idx="12">
                  <c:v>545422.29</c:v>
                </c:pt>
                <c:pt idx="13">
                  <c:v>2508000.96</c:v>
                </c:pt>
                <c:pt idx="14">
                  <c:v>0</c:v>
                </c:pt>
                <c:pt idx="15">
                  <c:v>669175.05</c:v>
                </c:pt>
                <c:pt idx="16">
                  <c:v>699092.41</c:v>
                </c:pt>
                <c:pt idx="17">
                  <c:v>379041.19</c:v>
                </c:pt>
                <c:pt idx="18">
                  <c:v>1193303.34</c:v>
                </c:pt>
                <c:pt idx="19">
                  <c:v>856887.29</c:v>
                </c:pt>
                <c:pt idx="20">
                  <c:v>61833.35</c:v>
                </c:pt>
                <c:pt idx="22">
                  <c:v>342036</c:v>
                </c:pt>
                <c:pt idx="23">
                  <c:v>300189</c:v>
                </c:pt>
                <c:pt idx="25">
                  <c:v>1987384</c:v>
                </c:pt>
                <c:pt idx="26">
                  <c:v>1452465</c:v>
                </c:pt>
                <c:pt idx="28">
                  <c:v>1457439</c:v>
                </c:pt>
                <c:pt idx="29">
                  <c:v>2238370</c:v>
                </c:pt>
                <c:pt idx="30">
                  <c:v>1250610</c:v>
                </c:pt>
                <c:pt idx="31">
                  <c:v>1376149</c:v>
                </c:pt>
                <c:pt idx="33">
                  <c:v>1320273.59</c:v>
                </c:pt>
                <c:pt idx="34">
                  <c:v>70000</c:v>
                </c:pt>
                <c:pt idx="35">
                  <c:v>1959717.45</c:v>
                </c:pt>
                <c:pt idx="36">
                  <c:v>4875029.05</c:v>
                </c:pt>
                <c:pt idx="37">
                  <c:v>1203395.8</c:v>
                </c:pt>
                <c:pt idx="38">
                  <c:v>871921.17</c:v>
                </c:pt>
                <c:pt idx="39">
                  <c:v>2115488.33</c:v>
                </c:pt>
                <c:pt idx="40">
                  <c:v>0</c:v>
                </c:pt>
                <c:pt idx="41">
                  <c:v>240351.86</c:v>
                </c:pt>
                <c:pt idx="42">
                  <c:v>81710.7</c:v>
                </c:pt>
              </c:numCache>
            </c:numRef>
          </c:val>
        </c:ser>
        <c:gapWidth val="50"/>
        <c:overlap val="0"/>
        <c:axId val="41869942"/>
        <c:axId val="42870626"/>
      </c:barChart>
      <c:catAx>
        <c:axId val="4186994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42870626"/>
        <c:crosses val="autoZero"/>
        <c:auto val="1"/>
        <c:lblAlgn val="ctr"/>
        <c:lblOffset val="100"/>
        <c:noMultiLvlLbl val="0"/>
      </c:catAx>
      <c:valAx>
        <c:axId val="42870626"/>
        <c:scaling>
          <c:orientation val="minMax"/>
          <c:max val="3000000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\$0,,\M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41869942"/>
        <c:crosses val="autoZero"/>
        <c:crossBetween val="midCat"/>
        <c:majorUnit val="1000000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65841735410938"/>
          <c:y val="0.0645348837209302"/>
          <c:w val="0.763366941643752"/>
          <c:h val="0.8455073995771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Main!$A$138</c:f>
              <c:strCache>
                <c:ptCount val="1"/>
                <c:pt idx="0">
                  <c:v>Encounters per Visit</c:v>
                </c:pt>
              </c:strCache>
            </c:strRef>
          </c:tx>
          <c:spPr>
            <a:solidFill>
              <a:srgbClr val="B85C00">
                <a:alpha val="8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Main!$D$138:$AW$138</c:f>
              <c:numCache>
                <c:formatCode>#,##0.00</c:formatCode>
                <c:ptCount val="43"/>
                <c:pt idx="0">
                  <c:v>1.4554446293215</c:v>
                </c:pt>
                <c:pt idx="1">
                  <c:v>1.64633125639356</c:v>
                </c:pt>
                <c:pt idx="2">
                  <c:v>1.54877513390113</c:v>
                </c:pt>
                <c:pt idx="3">
                  <c:v>1.55822014315505</c:v>
                </c:pt>
                <c:pt idx="4">
                  <c:v>1.53455837207263</c:v>
                </c:pt>
                <c:pt idx="5">
                  <c:v>1.74281839712736</c:v>
                </c:pt>
                <c:pt idx="6">
                  <c:v>1.48056134282008</c:v>
                </c:pt>
                <c:pt idx="7">
                  <c:v>1.33109561924434</c:v>
                </c:pt>
                <c:pt idx="8">
                  <c:v>1.63704286276052</c:v>
                </c:pt>
                <c:pt idx="9">
                  <c:v>1.49709192537201</c:v>
                </c:pt>
                <c:pt idx="11">
                  <c:v>1.14094573456864</c:v>
                </c:pt>
                <c:pt idx="12">
                  <c:v>1.35062593890836</c:v>
                </c:pt>
                <c:pt idx="13">
                  <c:v>1.80722274732199</c:v>
                </c:pt>
                <c:pt idx="14">
                  <c:v>1.15677276091784</c:v>
                </c:pt>
                <c:pt idx="15">
                  <c:v>1.5674298502324</c:v>
                </c:pt>
                <c:pt idx="16">
                  <c:v>1.37847243421454</c:v>
                </c:pt>
                <c:pt idx="17">
                  <c:v>1.49775037493751</c:v>
                </c:pt>
                <c:pt idx="18">
                  <c:v>1.75835189309577</c:v>
                </c:pt>
                <c:pt idx="19">
                  <c:v>1.54037291774341</c:v>
                </c:pt>
                <c:pt idx="20">
                  <c:v>1.47056936647955</c:v>
                </c:pt>
                <c:pt idx="22">
                  <c:v>1.01557632398754</c:v>
                </c:pt>
                <c:pt idx="23">
                  <c:v>1.12758813654169</c:v>
                </c:pt>
                <c:pt idx="25">
                  <c:v>1.04015708620491</c:v>
                </c:pt>
                <c:pt idx="26">
                  <c:v>2.48293641050823</c:v>
                </c:pt>
                <c:pt idx="27">
                  <c:v>2.43766710472652</c:v>
                </c:pt>
                <c:pt idx="28">
                  <c:v>2.83981900452489</c:v>
                </c:pt>
                <c:pt idx="29">
                  <c:v>3.17139870610504</c:v>
                </c:pt>
                <c:pt idx="30">
                  <c:v>2.85912649361352</c:v>
                </c:pt>
                <c:pt idx="31">
                  <c:v>2.92897034105081</c:v>
                </c:pt>
                <c:pt idx="33">
                  <c:v>1.61149261110806</c:v>
                </c:pt>
                <c:pt idx="34">
                  <c:v>1.36157802640649</c:v>
                </c:pt>
                <c:pt idx="35">
                  <c:v>1.15100188696199</c:v>
                </c:pt>
                <c:pt idx="36">
                  <c:v>1.1904380842116</c:v>
                </c:pt>
                <c:pt idx="37">
                  <c:v>1.45281812899477</c:v>
                </c:pt>
                <c:pt idx="38">
                  <c:v>1.30136610522851</c:v>
                </c:pt>
                <c:pt idx="39">
                  <c:v>1.50092470277411</c:v>
                </c:pt>
                <c:pt idx="40">
                  <c:v>1.42878048780488</c:v>
                </c:pt>
                <c:pt idx="41">
                  <c:v>1.10989312140312</c:v>
                </c:pt>
                <c:pt idx="42">
                  <c:v>1.1491847826087</c:v>
                </c:pt>
              </c:numCache>
            </c:numRef>
          </c:val>
        </c:ser>
        <c:gapWidth val="50"/>
        <c:overlap val="0"/>
        <c:axId val="63199044"/>
        <c:axId val="96810665"/>
      </c:barChart>
      <c:catAx>
        <c:axId val="6319904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96810665"/>
        <c:crosses val="autoZero"/>
        <c:auto val="1"/>
        <c:lblAlgn val="ctr"/>
        <c:lblOffset val="100"/>
        <c:noMultiLvlLbl val="0"/>
      </c:catAx>
      <c:valAx>
        <c:axId val="96810665"/>
        <c:scaling>
          <c:orientation val="minMax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63199044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70973864797781"/>
          <c:y val="0.0207946945427977"/>
          <c:w val="0.729741568112133"/>
          <c:h val="0.89906142865171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Main!$A$136</c:f>
              <c:strCache>
                <c:ptCount val="1"/>
                <c:pt idx="0">
                  <c:v>FP encounters</c:v>
                </c:pt>
              </c:strCache>
            </c:strRef>
          </c:tx>
          <c:spPr>
            <a:solidFill>
              <a:srgbClr val="2A6099">
                <a:alpha val="9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Main!$D$136:$AW$136</c:f>
              <c:numCache>
                <c:formatCode>#,##0.00</c:formatCode>
                <c:ptCount val="43"/>
                <c:pt idx="0">
                  <c:v>0.221359462624022</c:v>
                </c:pt>
                <c:pt idx="1">
                  <c:v>0.45633776620478</c:v>
                </c:pt>
                <c:pt idx="2">
                  <c:v>0.321933444551761</c:v>
                </c:pt>
                <c:pt idx="3">
                  <c:v>0.194471059009187</c:v>
                </c:pt>
                <c:pt idx="4">
                  <c:v>0.335716165248662</c:v>
                </c:pt>
                <c:pt idx="5">
                  <c:v>0.412311864924746</c:v>
                </c:pt>
                <c:pt idx="6">
                  <c:v>0.36522662054326</c:v>
                </c:pt>
                <c:pt idx="7">
                  <c:v>0.231603408210689</c:v>
                </c:pt>
                <c:pt idx="8">
                  <c:v>0.277100537422991</c:v>
                </c:pt>
                <c:pt idx="9">
                  <c:v>0.0424503361281064</c:v>
                </c:pt>
                <c:pt idx="11">
                  <c:v>0.588665623871977</c:v>
                </c:pt>
                <c:pt idx="12">
                  <c:v>0.145468202303455</c:v>
                </c:pt>
                <c:pt idx="13">
                  <c:v>0.555056710775047</c:v>
                </c:pt>
                <c:pt idx="14">
                  <c:v>0.0544781643227239</c:v>
                </c:pt>
                <c:pt idx="15">
                  <c:v>0.334549836460665</c:v>
                </c:pt>
                <c:pt idx="16">
                  <c:v>0.327858843641248</c:v>
                </c:pt>
                <c:pt idx="17">
                  <c:v>0.21451980225518</c:v>
                </c:pt>
                <c:pt idx="18">
                  <c:v>0.777004454342984</c:v>
                </c:pt>
                <c:pt idx="19">
                  <c:v>0.320319643780066</c:v>
                </c:pt>
                <c:pt idx="20">
                  <c:v>0.265437048917402</c:v>
                </c:pt>
                <c:pt idx="22">
                  <c:v>0.762420068863748</c:v>
                </c:pt>
                <c:pt idx="23">
                  <c:v>0.820220108188771</c:v>
                </c:pt>
                <c:pt idx="25">
                  <c:v>0.218650136680399</c:v>
                </c:pt>
                <c:pt idx="26">
                  <c:v>0.539692282510844</c:v>
                </c:pt>
                <c:pt idx="27">
                  <c:v>0.574976208818598</c:v>
                </c:pt>
                <c:pt idx="28">
                  <c:v>0.599053887289181</c:v>
                </c:pt>
                <c:pt idx="29">
                  <c:v>0.622001864564794</c:v>
                </c:pt>
                <c:pt idx="30">
                  <c:v>0.549320148331273</c:v>
                </c:pt>
                <c:pt idx="31">
                  <c:v>0.650653364420105</c:v>
                </c:pt>
                <c:pt idx="33">
                  <c:v>0.684777234521782</c:v>
                </c:pt>
                <c:pt idx="34">
                  <c:v>0.849832970995281</c:v>
                </c:pt>
                <c:pt idx="35">
                  <c:v>0.580959654955522</c:v>
                </c:pt>
                <c:pt idx="36">
                  <c:v>0.682001600463113</c:v>
                </c:pt>
                <c:pt idx="37">
                  <c:v>0.609819872167345</c:v>
                </c:pt>
                <c:pt idx="38">
                  <c:v>0.43814121907061</c:v>
                </c:pt>
                <c:pt idx="39">
                  <c:v>0.570970937912814</c:v>
                </c:pt>
                <c:pt idx="40">
                  <c:v>0.841463414634146</c:v>
                </c:pt>
                <c:pt idx="41">
                  <c:v>0.661277062208824</c:v>
                </c:pt>
                <c:pt idx="42">
                  <c:v>0.504891304347826</c:v>
                </c:pt>
              </c:numCache>
            </c:numRef>
          </c:val>
        </c:ser>
        <c:ser>
          <c:idx val="1"/>
          <c:order val="1"/>
          <c:tx>
            <c:strRef>
              <c:f>Main!$A$137</c:f>
              <c:strCache>
                <c:ptCount val="1"/>
                <c:pt idx="0">
                  <c:v>NP encounters</c:v>
                </c:pt>
              </c:strCache>
            </c:strRef>
          </c:tx>
          <c:spPr>
            <a:solidFill>
              <a:srgbClr val="2A6099">
                <a:alpha val="85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Main!$D$137:$AW$137</c:f>
              <c:numCache>
                <c:formatCode>#,##0.00</c:formatCode>
                <c:ptCount val="43"/>
                <c:pt idx="0">
                  <c:v>0.161582547605842</c:v>
                </c:pt>
                <c:pt idx="1">
                  <c:v>0</c:v>
                </c:pt>
                <c:pt idx="2">
                  <c:v>0.0195802967775924</c:v>
                </c:pt>
                <c:pt idx="3">
                  <c:v>0.207321197091811</c:v>
                </c:pt>
                <c:pt idx="4">
                  <c:v>0.204104903078677</c:v>
                </c:pt>
                <c:pt idx="5">
                  <c:v>0.120769348307739</c:v>
                </c:pt>
                <c:pt idx="6">
                  <c:v>0.166083572467471</c:v>
                </c:pt>
                <c:pt idx="7">
                  <c:v>0.0486272484723298</c:v>
                </c:pt>
                <c:pt idx="8">
                  <c:v>0.189015598374623</c:v>
                </c:pt>
                <c:pt idx="9">
                  <c:v>0.349422161794698</c:v>
                </c:pt>
                <c:pt idx="11">
                  <c:v>0.0125857297557454</c:v>
                </c:pt>
                <c:pt idx="12">
                  <c:v>0.262393590385578</c:v>
                </c:pt>
                <c:pt idx="13">
                  <c:v>0.167848141146818</c:v>
                </c:pt>
                <c:pt idx="14">
                  <c:v>0.093560325684678</c:v>
                </c:pt>
                <c:pt idx="15">
                  <c:v>0.265381304871751</c:v>
                </c:pt>
                <c:pt idx="16">
                  <c:v>0.26778191586788</c:v>
                </c:pt>
                <c:pt idx="17">
                  <c:v>0.268621896350608</c:v>
                </c:pt>
                <c:pt idx="18">
                  <c:v>0.0220861172976986</c:v>
                </c:pt>
                <c:pt idx="19">
                  <c:v>0.422017254403053</c:v>
                </c:pt>
                <c:pt idx="20">
                  <c:v>0.127345629510826</c:v>
                </c:pt>
                <c:pt idx="22">
                  <c:v>0.118380062305296</c:v>
                </c:pt>
                <c:pt idx="23">
                  <c:v>0.000186532363365044</c:v>
                </c:pt>
                <c:pt idx="25">
                  <c:v>0.135602356293074</c:v>
                </c:pt>
                <c:pt idx="26">
                  <c:v>0.416687126606105</c:v>
                </c:pt>
                <c:pt idx="27">
                  <c:v>0.280826573616713</c:v>
                </c:pt>
                <c:pt idx="28">
                  <c:v>0.386713286713287</c:v>
                </c:pt>
                <c:pt idx="29">
                  <c:v>0.326666101647032</c:v>
                </c:pt>
                <c:pt idx="30">
                  <c:v>0.418252987227029</c:v>
                </c:pt>
                <c:pt idx="31">
                  <c:v>0.316054871767066</c:v>
                </c:pt>
                <c:pt idx="33">
                  <c:v>0.079822007361424</c:v>
                </c:pt>
                <c:pt idx="34">
                  <c:v>0.0323452993265815</c:v>
                </c:pt>
                <c:pt idx="35">
                  <c:v>0</c:v>
                </c:pt>
                <c:pt idx="36">
                  <c:v>0</c:v>
                </c:pt>
                <c:pt idx="37">
                  <c:v>0.0968622893666473</c:v>
                </c:pt>
                <c:pt idx="38">
                  <c:v>0.075108355735996</c:v>
                </c:pt>
                <c:pt idx="39">
                  <c:v>0.438936591809775</c:v>
                </c:pt>
                <c:pt idx="40">
                  <c:v>0.035609756097561</c:v>
                </c:pt>
                <c:pt idx="41">
                  <c:v>0.199780761852562</c:v>
                </c:pt>
                <c:pt idx="42">
                  <c:v>0.173641304347826</c:v>
                </c:pt>
              </c:numCache>
            </c:numRef>
          </c:val>
        </c:ser>
        <c:gapWidth val="20"/>
        <c:overlap val="100"/>
        <c:axId val="74022085"/>
        <c:axId val="94414346"/>
      </c:barChart>
      <c:catAx>
        <c:axId val="74022085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94414346"/>
        <c:crosses val="autoZero"/>
        <c:auto val="1"/>
        <c:lblAlgn val="ctr"/>
        <c:lblOffset val="100"/>
        <c:noMultiLvlLbl val="0"/>
      </c:catAx>
      <c:valAx>
        <c:axId val="94414346"/>
        <c:scaling>
          <c:orientation val="minMax"/>
          <c:max val="2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#,##0.00" sourceLinked="0"/>
        <c:majorTickMark val="out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 Narrow"/>
                <a:ea typeface="DejaVu Sans"/>
              </a:defRPr>
            </a:pPr>
          </a:p>
        </c:txPr>
        <c:crossAx val="74022085"/>
        <c:crosses val="autoZero"/>
        <c:crossBetween val="midCat"/>
        <c:majorUnit val="0.5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500" b="1" u="none" strike="noStrike">
                <a:solidFill>
                  <a:srgbClr val="808080"/>
                </a:solidFill>
                <a:uFillTx/>
                <a:latin typeface="Arial"/>
                <a:ea typeface="DejaVu Sans"/>
              </a:rPr>
              <a:t>% Virtual Encounters</a:t>
            </a:r>
          </a:p>
        </c:rich>
      </c:tx>
      <c:layout>
        <c:manualLayout>
          <c:xMode val="edge"/>
          <c:yMode val="edge"/>
          <c:x val="0.31015"/>
          <c:y val="0.015721627035972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8"/>
          <c:y val="0.145239961675812"/>
          <c:w val="0.7997"/>
          <c:h val="0.799669018378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Main!$A$139</c:f>
              <c:strCache>
                <c:ptCount val="1"/>
                <c:pt idx="0">
                  <c:v>% Virtual Encounters</c:v>
                </c:pt>
              </c:strCache>
            </c:strRef>
          </c:tx>
          <c:spPr>
            <a:solidFill>
              <a:srgbClr val="B85C00">
                <a:alpha val="75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Main!$D$139:$AW$139</c:f>
              <c:numCache>
                <c:formatCode>0.00%</c:formatCode>
                <c:ptCount val="43"/>
                <c:pt idx="0">
                  <c:v>0.232391235312798</c:v>
                </c:pt>
                <c:pt idx="1">
                  <c:v>0.484211715528442</c:v>
                </c:pt>
                <c:pt idx="2">
                  <c:v>0.541839106525313</c:v>
                </c:pt>
                <c:pt idx="3">
                  <c:v>0.255502305814269</c:v>
                </c:pt>
                <c:pt idx="4">
                  <c:v>0.31190877654254</c:v>
                </c:pt>
                <c:pt idx="5">
                  <c:v>0.361885870220391</c:v>
                </c:pt>
                <c:pt idx="6">
                  <c:v>0.313694774851317</c:v>
                </c:pt>
                <c:pt idx="7">
                  <c:v>0.484611405664037</c:v>
                </c:pt>
                <c:pt idx="8">
                  <c:v>0.151253102730403</c:v>
                </c:pt>
                <c:pt idx="9">
                  <c:v>0.189909182643794</c:v>
                </c:pt>
                <c:pt idx="11">
                  <c:v>0.238041002277904</c:v>
                </c:pt>
                <c:pt idx="12">
                  <c:v>0.0936526768500667</c:v>
                </c:pt>
                <c:pt idx="13">
                  <c:v>0.0399333173527425</c:v>
                </c:pt>
                <c:pt idx="14">
                  <c:v>0.0772971589454825</c:v>
                </c:pt>
                <c:pt idx="15">
                  <c:v>0.133967403242103</c:v>
                </c:pt>
                <c:pt idx="16">
                  <c:v>0.133714235096111</c:v>
                </c:pt>
                <c:pt idx="17">
                  <c:v>0.137961726746773</c:v>
                </c:pt>
                <c:pt idx="18">
                  <c:v>0.0963690099218915</c:v>
                </c:pt>
                <c:pt idx="19">
                  <c:v>0.0764227642276423</c:v>
                </c:pt>
                <c:pt idx="20">
                  <c:v>0.143854291634857</c:v>
                </c:pt>
                <c:pt idx="22">
                  <c:v>0.408298353245076</c:v>
                </c:pt>
                <c:pt idx="23">
                  <c:v>0.0745740281224152</c:v>
                </c:pt>
                <c:pt idx="25">
                  <c:v>0.0185815812851643</c:v>
                </c:pt>
                <c:pt idx="26">
                  <c:v>0.025000824021886</c:v>
                </c:pt>
                <c:pt idx="27">
                  <c:v>0.0293166270077335</c:v>
                </c:pt>
                <c:pt idx="28">
                  <c:v>0.0386320180775248</c:v>
                </c:pt>
                <c:pt idx="29">
                  <c:v>0.0123198346665716</c:v>
                </c:pt>
                <c:pt idx="30">
                  <c:v>0.0311856004380972</c:v>
                </c:pt>
                <c:pt idx="31">
                  <c:v>0.0316185046002333</c:v>
                </c:pt>
                <c:pt idx="33">
                  <c:v>0.083895820549533</c:v>
                </c:pt>
                <c:pt idx="34">
                  <c:v>0.0153438741334995</c:v>
                </c:pt>
                <c:pt idx="35">
                  <c:v>0.275928022171045</c:v>
                </c:pt>
                <c:pt idx="36">
                  <c:v>0.142395377442147</c:v>
                </c:pt>
                <c:pt idx="37">
                  <c:v>0.293084829820422</c:v>
                </c:pt>
                <c:pt idx="38">
                  <c:v>0.333811129848229</c:v>
                </c:pt>
                <c:pt idx="39">
                  <c:v>0.168302235521915</c:v>
                </c:pt>
                <c:pt idx="40">
                  <c:v>0.124908549968297</c:v>
                </c:pt>
                <c:pt idx="41">
                  <c:v>0.150123456790123</c:v>
                </c:pt>
                <c:pt idx="42">
                  <c:v>0.128635611255616</c:v>
                </c:pt>
              </c:numCache>
            </c:numRef>
          </c:val>
        </c:ser>
        <c:gapWidth val="50"/>
        <c:overlap val="0"/>
        <c:axId val="74318245"/>
        <c:axId val="74373493"/>
      </c:barChart>
      <c:catAx>
        <c:axId val="74318245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74373493"/>
        <c:crosses val="autoZero"/>
        <c:auto val="1"/>
        <c:lblAlgn val="ctr"/>
        <c:lblOffset val="100"/>
        <c:noMultiLvlLbl val="0"/>
      </c:catAx>
      <c:valAx>
        <c:axId val="74373493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74318245"/>
        <c:crosses val="autoZero"/>
        <c:crossBetween val="midCat"/>
        <c:majorUnit val="0.25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352960034195341"/>
          <c:y val="0.0135446523913899"/>
          <c:w val="0.534088480444539"/>
          <c:h val="0.89906142865171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Main!$A$28</c:f>
              <c:strCache>
                <c:ptCount val="1"/>
                <c:pt idx="0">
                  <c:v>Family Physician </c:v>
                </c:pt>
              </c:strCache>
            </c:strRef>
          </c:tx>
          <c:spPr>
            <a:solidFill>
              <a:srgbClr val="2A6099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2A6099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Main!$D$28:$AW$28</c:f>
              <c:numCache>
                <c:formatCode>#,##0</c:formatCode>
                <c:ptCount val="43"/>
                <c:pt idx="0">
                  <c:v>7184</c:v>
                </c:pt>
                <c:pt idx="1">
                  <c:v>4907</c:v>
                </c:pt>
                <c:pt idx="2">
                  <c:v>7333</c:v>
                </c:pt>
                <c:pt idx="3">
                  <c:v>6901</c:v>
                </c:pt>
                <c:pt idx="4">
                  <c:v>7655</c:v>
                </c:pt>
                <c:pt idx="5">
                  <c:v>21587</c:v>
                </c:pt>
                <c:pt idx="6">
                  <c:v>18582</c:v>
                </c:pt>
                <c:pt idx="7">
                  <c:v>2691</c:v>
                </c:pt>
                <c:pt idx="8">
                  <c:v>2114</c:v>
                </c:pt>
                <c:pt idx="9">
                  <c:v>562</c:v>
                </c:pt>
                <c:pt idx="11">
                  <c:v>24462</c:v>
                </c:pt>
                <c:pt idx="12">
                  <c:v>2905</c:v>
                </c:pt>
                <c:pt idx="13">
                  <c:v>28188</c:v>
                </c:pt>
                <c:pt idx="14">
                  <c:v>368</c:v>
                </c:pt>
                <c:pt idx="15">
                  <c:v>9717</c:v>
                </c:pt>
                <c:pt idx="16">
                  <c:v>5370</c:v>
                </c:pt>
                <c:pt idx="17">
                  <c:v>3862</c:v>
                </c:pt>
                <c:pt idx="18">
                  <c:v>8373</c:v>
                </c:pt>
                <c:pt idx="19">
                  <c:v>8057</c:v>
                </c:pt>
                <c:pt idx="20">
                  <c:v>1655</c:v>
                </c:pt>
                <c:pt idx="22">
                  <c:v>4650</c:v>
                </c:pt>
                <c:pt idx="23">
                  <c:v>21986</c:v>
                </c:pt>
                <c:pt idx="25">
                  <c:v>5679</c:v>
                </c:pt>
                <c:pt idx="26">
                  <c:v>13189</c:v>
                </c:pt>
                <c:pt idx="27">
                  <c:v>12688</c:v>
                </c:pt>
                <c:pt idx="28">
                  <c:v>14563</c:v>
                </c:pt>
                <c:pt idx="29">
                  <c:v>22017</c:v>
                </c:pt>
                <c:pt idx="30">
                  <c:v>13332</c:v>
                </c:pt>
                <c:pt idx="31">
                  <c:v>12000</c:v>
                </c:pt>
                <c:pt idx="33">
                  <c:v>12465</c:v>
                </c:pt>
                <c:pt idx="34">
                  <c:v>16027</c:v>
                </c:pt>
                <c:pt idx="35">
                  <c:v>12931</c:v>
                </c:pt>
                <c:pt idx="36">
                  <c:v>40056</c:v>
                </c:pt>
                <c:pt idx="37">
                  <c:v>10495</c:v>
                </c:pt>
                <c:pt idx="38">
                  <c:v>7986</c:v>
                </c:pt>
                <c:pt idx="39">
                  <c:v>17289</c:v>
                </c:pt>
                <c:pt idx="40">
                  <c:v>12075</c:v>
                </c:pt>
                <c:pt idx="41">
                  <c:v>2413</c:v>
                </c:pt>
                <c:pt idx="42">
                  <c:v>1858</c:v>
                </c:pt>
              </c:numCache>
            </c:numRef>
          </c:val>
        </c:ser>
        <c:ser>
          <c:idx val="1"/>
          <c:order val="1"/>
          <c:tx>
            <c:strRef>
              <c:f>Main!$A$29</c:f>
              <c:strCache>
                <c:ptCount val="1"/>
                <c:pt idx="0">
                  <c:v>Nurse Practitioner</c:v>
                </c:pt>
              </c:strCache>
            </c:strRef>
          </c:tx>
          <c:spPr>
            <a:solidFill>
              <a:srgbClr val="2A6099">
                <a:alpha val="85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Main!$D$29:$AW$29</c:f>
              <c:numCache>
                <c:formatCode>#,##0</c:formatCode>
                <c:ptCount val="43"/>
                <c:pt idx="0">
                  <c:v>5244</c:v>
                </c:pt>
                <c:pt idx="1">
                  <c:v>0</c:v>
                </c:pt>
                <c:pt idx="2">
                  <c:v>446</c:v>
                </c:pt>
                <c:pt idx="3">
                  <c:v>7357</c:v>
                </c:pt>
                <c:pt idx="4">
                  <c:v>4654</c:v>
                </c:pt>
                <c:pt idx="5">
                  <c:v>6323</c:v>
                </c:pt>
                <c:pt idx="6">
                  <c:v>8450</c:v>
                </c:pt>
                <c:pt idx="7">
                  <c:v>565</c:v>
                </c:pt>
                <c:pt idx="8">
                  <c:v>1442</c:v>
                </c:pt>
                <c:pt idx="9">
                  <c:v>4626</c:v>
                </c:pt>
                <c:pt idx="11">
                  <c:v>523</c:v>
                </c:pt>
                <c:pt idx="12">
                  <c:v>5240</c:v>
                </c:pt>
                <c:pt idx="13">
                  <c:v>8524</c:v>
                </c:pt>
                <c:pt idx="14">
                  <c:v>632</c:v>
                </c:pt>
                <c:pt idx="15">
                  <c:v>7708</c:v>
                </c:pt>
                <c:pt idx="16">
                  <c:v>4386</c:v>
                </c:pt>
                <c:pt idx="17">
                  <c:v>4836</c:v>
                </c:pt>
                <c:pt idx="18">
                  <c:v>238</c:v>
                </c:pt>
                <c:pt idx="19">
                  <c:v>10615</c:v>
                </c:pt>
                <c:pt idx="20">
                  <c:v>794</c:v>
                </c:pt>
                <c:pt idx="22">
                  <c:v>722</c:v>
                </c:pt>
                <c:pt idx="23">
                  <c:v>5</c:v>
                </c:pt>
                <c:pt idx="25">
                  <c:v>3522</c:v>
                </c:pt>
                <c:pt idx="26">
                  <c:v>10183</c:v>
                </c:pt>
                <c:pt idx="27">
                  <c:v>6197</c:v>
                </c:pt>
                <c:pt idx="28">
                  <c:v>9401</c:v>
                </c:pt>
                <c:pt idx="29">
                  <c:v>11563</c:v>
                </c:pt>
                <c:pt idx="30">
                  <c:v>10151</c:v>
                </c:pt>
                <c:pt idx="31">
                  <c:v>5829</c:v>
                </c:pt>
                <c:pt idx="33">
                  <c:v>1453</c:v>
                </c:pt>
                <c:pt idx="34">
                  <c:v>610</c:v>
                </c:pt>
                <c:pt idx="35">
                  <c:v>0</c:v>
                </c:pt>
                <c:pt idx="36">
                  <c:v>0</c:v>
                </c:pt>
                <c:pt idx="37">
                  <c:v>1667</c:v>
                </c:pt>
                <c:pt idx="38">
                  <c:v>1369</c:v>
                </c:pt>
                <c:pt idx="39">
                  <c:v>13291</c:v>
                </c:pt>
                <c:pt idx="40">
                  <c:v>511</c:v>
                </c:pt>
                <c:pt idx="41">
                  <c:v>729</c:v>
                </c:pt>
                <c:pt idx="42">
                  <c:v>639</c:v>
                </c:pt>
              </c:numCache>
            </c:numRef>
          </c:val>
        </c:ser>
        <c:ser>
          <c:idx val="2"/>
          <c:order val="2"/>
          <c:tx>
            <c:strRef>
              <c:f>Main!$A$30</c:f>
              <c:strCache>
                <c:ptCount val="1"/>
                <c:pt idx="0">
                  <c:v>Registered Nurse</c:v>
                </c:pt>
              </c:strCache>
            </c:strRef>
          </c:tx>
          <c:spPr>
            <a:solidFill>
              <a:srgbClr val="158466">
                <a:alpha val="2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158466">
                  <a:alpha val="20000"/>
                </a:srgbClr>
              </a:solidFill>
              <a:ln w="0">
                <a:noFill/>
              </a:ln>
            </c:spPr>
          </c:dPt>
          <c:dPt>
            <c:idx val="20"/>
            <c:invertIfNegative val="0"/>
            <c:spPr>
              <a:solidFill>
                <a:srgbClr val="158466">
                  <a:alpha val="2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Main!$D$30:$AW$30</c:f>
              <c:numCache>
                <c:formatCode>#,##0</c:formatCode>
                <c:ptCount val="43"/>
                <c:pt idx="0">
                  <c:v>29827</c:v>
                </c:pt>
                <c:pt idx="1">
                  <c:v>10949</c:v>
                </c:pt>
                <c:pt idx="2">
                  <c:v>24838</c:v>
                </c:pt>
                <c:pt idx="3">
                  <c:v>30027</c:v>
                </c:pt>
                <c:pt idx="4">
                  <c:v>17167</c:v>
                </c:pt>
                <c:pt idx="5">
                  <c:v>46837</c:v>
                </c:pt>
                <c:pt idx="6">
                  <c:v>41353</c:v>
                </c:pt>
                <c:pt idx="7">
                  <c:v>12210</c:v>
                </c:pt>
                <c:pt idx="8">
                  <c:v>7032</c:v>
                </c:pt>
                <c:pt idx="9">
                  <c:v>9432</c:v>
                </c:pt>
                <c:pt idx="11">
                  <c:v>16973</c:v>
                </c:pt>
                <c:pt idx="12">
                  <c:v>16108</c:v>
                </c:pt>
                <c:pt idx="13">
                  <c:v>42747</c:v>
                </c:pt>
                <c:pt idx="14">
                  <c:v>4294</c:v>
                </c:pt>
                <c:pt idx="15">
                  <c:v>22419</c:v>
                </c:pt>
                <c:pt idx="16">
                  <c:v>9391</c:v>
                </c:pt>
                <c:pt idx="17">
                  <c:v>13998</c:v>
                </c:pt>
                <c:pt idx="18">
                  <c:v>10329</c:v>
                </c:pt>
                <c:pt idx="19">
                  <c:v>17145</c:v>
                </c:pt>
                <c:pt idx="20">
                  <c:v>6132</c:v>
                </c:pt>
                <c:pt idx="22">
                  <c:v>67</c:v>
                </c:pt>
                <c:pt idx="23">
                  <c:v>8234</c:v>
                </c:pt>
                <c:pt idx="25">
                  <c:v>17815</c:v>
                </c:pt>
                <c:pt idx="26">
                  <c:v>36820</c:v>
                </c:pt>
                <c:pt idx="27">
                  <c:v>20040</c:v>
                </c:pt>
                <c:pt idx="28">
                  <c:v>43325</c:v>
                </c:pt>
                <c:pt idx="29">
                  <c:v>76048</c:v>
                </c:pt>
                <c:pt idx="30">
                  <c:v>45328</c:v>
                </c:pt>
                <c:pt idx="31">
                  <c:v>35197</c:v>
                </c:pt>
                <c:pt idx="33">
                  <c:v>13972</c:v>
                </c:pt>
                <c:pt idx="34">
                  <c:v>5707</c:v>
                </c:pt>
                <c:pt idx="35">
                  <c:v>12042</c:v>
                </c:pt>
                <c:pt idx="36">
                  <c:v>26472</c:v>
                </c:pt>
                <c:pt idx="37">
                  <c:v>11496</c:v>
                </c:pt>
                <c:pt idx="38">
                  <c:v>12037</c:v>
                </c:pt>
                <c:pt idx="39">
                  <c:v>12523</c:v>
                </c:pt>
                <c:pt idx="40">
                  <c:v>6554</c:v>
                </c:pt>
                <c:pt idx="41">
                  <c:v>908</c:v>
                </c:pt>
                <c:pt idx="42">
                  <c:v>1703</c:v>
                </c:pt>
              </c:numCache>
            </c:numRef>
          </c:val>
        </c:ser>
        <c:ser>
          <c:idx val="3"/>
          <c:order val="3"/>
          <c:tx>
            <c:strRef>
              <c:f>Main!$A$31</c:f>
              <c:strCache>
                <c:ptCount val="1"/>
                <c:pt idx="0">
                  <c:v>Licensed Practical Nurse</c:v>
                </c:pt>
              </c:strCache>
            </c:strRef>
          </c:tx>
          <c:spPr>
            <a:solidFill>
              <a:srgbClr val="158466">
                <a:alpha val="15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Main!$D$31:$AW$31</c:f>
              <c:numCache>
                <c:formatCode>#,##0</c:formatCode>
                <c:ptCount val="43"/>
                <c:pt idx="0">
                  <c:v>3444</c:v>
                </c:pt>
                <c:pt idx="1">
                  <c:v>0</c:v>
                </c:pt>
                <c:pt idx="2">
                  <c:v>2496</c:v>
                </c:pt>
                <c:pt idx="3">
                  <c:v>10017</c:v>
                </c:pt>
                <c:pt idx="4">
                  <c:v>3755</c:v>
                </c:pt>
                <c:pt idx="5">
                  <c:v>14112</c:v>
                </c:pt>
                <c:pt idx="6">
                  <c:v>5284</c:v>
                </c:pt>
                <c:pt idx="7">
                  <c:v>0</c:v>
                </c:pt>
                <c:pt idx="8">
                  <c:v>1901</c:v>
                </c:pt>
                <c:pt idx="9">
                  <c:v>4577</c:v>
                </c:pt>
                <c:pt idx="11">
                  <c:v>1629</c:v>
                </c:pt>
                <c:pt idx="12">
                  <c:v>363</c:v>
                </c:pt>
                <c:pt idx="13">
                  <c:v>2015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341</c:v>
                </c:pt>
                <c:pt idx="22">
                  <c:v>131</c:v>
                </c:pt>
                <c:pt idx="23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12494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</c:ser>
        <c:ser>
          <c:idx val="4"/>
          <c:order val="4"/>
          <c:tx>
            <c:strRef>
              <c:f>Main!$A$32</c:f>
              <c:strCache>
                <c:ptCount val="1"/>
                <c:pt idx="0">
                  <c:v>Allied Health</c:v>
                </c:pt>
              </c:strCache>
            </c:strRef>
          </c:tx>
          <c:spPr>
            <a:solidFill>
              <a:srgbClr val="6B5E9B">
                <a:alpha val="2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Main!$D$32:$AW$32</c:f>
              <c:numCache>
                <c:formatCode>#,##0</c:formatCode>
                <c:ptCount val="43"/>
                <c:pt idx="0">
                  <c:v>1536</c:v>
                </c:pt>
                <c:pt idx="1">
                  <c:v>1847</c:v>
                </c:pt>
                <c:pt idx="2">
                  <c:v>165</c:v>
                </c:pt>
                <c:pt idx="3">
                  <c:v>993</c:v>
                </c:pt>
                <c:pt idx="4">
                  <c:v>1760</c:v>
                </c:pt>
                <c:pt idx="5">
                  <c:v>2388</c:v>
                </c:pt>
                <c:pt idx="6">
                  <c:v>1659</c:v>
                </c:pt>
                <c:pt idx="7">
                  <c:v>0</c:v>
                </c:pt>
                <c:pt idx="8">
                  <c:v>0</c:v>
                </c:pt>
                <c:pt idx="9">
                  <c:v>623</c:v>
                </c:pt>
                <c:pt idx="11">
                  <c:v>3825</c:v>
                </c:pt>
                <c:pt idx="12">
                  <c:v>2356</c:v>
                </c:pt>
                <c:pt idx="13">
                  <c:v>10304</c:v>
                </c:pt>
                <c:pt idx="14">
                  <c:v>2520</c:v>
                </c:pt>
                <c:pt idx="15">
                  <c:v>5682</c:v>
                </c:pt>
                <c:pt idx="16">
                  <c:v>3431</c:v>
                </c:pt>
                <c:pt idx="17">
                  <c:v>4268</c:v>
                </c:pt>
                <c:pt idx="18">
                  <c:v>8</c:v>
                </c:pt>
                <c:pt idx="19">
                  <c:v>2928</c:v>
                </c:pt>
                <c:pt idx="20">
                  <c:v>247</c:v>
                </c:pt>
                <c:pt idx="22">
                  <c:v>624</c:v>
                </c:pt>
                <c:pt idx="23">
                  <c:v>0</c:v>
                </c:pt>
                <c:pt idx="25">
                  <c:v>0</c:v>
                </c:pt>
                <c:pt idx="26">
                  <c:v>486</c:v>
                </c:pt>
                <c:pt idx="27">
                  <c:v>2373</c:v>
                </c:pt>
                <c:pt idx="28">
                  <c:v>1747</c:v>
                </c:pt>
                <c:pt idx="29">
                  <c:v>2630</c:v>
                </c:pt>
                <c:pt idx="30">
                  <c:v>580</c:v>
                </c:pt>
                <c:pt idx="31">
                  <c:v>993</c:v>
                </c:pt>
                <c:pt idx="33">
                  <c:v>1444</c:v>
                </c:pt>
                <c:pt idx="34">
                  <c:v>3334</c:v>
                </c:pt>
                <c:pt idx="35">
                  <c:v>646</c:v>
                </c:pt>
                <c:pt idx="36">
                  <c:v>3390</c:v>
                </c:pt>
                <c:pt idx="37">
                  <c:v>1345</c:v>
                </c:pt>
                <c:pt idx="38">
                  <c:v>2328</c:v>
                </c:pt>
                <c:pt idx="39">
                  <c:v>2345</c:v>
                </c:pt>
                <c:pt idx="40">
                  <c:v>1363</c:v>
                </c:pt>
                <c:pt idx="41">
                  <c:v>0</c:v>
                </c:pt>
                <c:pt idx="42">
                  <c:v>29</c:v>
                </c:pt>
              </c:numCache>
            </c:numRef>
          </c:val>
        </c:ser>
        <c:gapWidth val="20"/>
        <c:overlap val="100"/>
        <c:axId val="14002187"/>
        <c:axId val="1224650"/>
      </c:barChart>
      <c:catAx>
        <c:axId val="14002187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1224650"/>
        <c:crosses val="autoZero"/>
        <c:auto val="1"/>
        <c:lblAlgn val="ctr"/>
        <c:lblOffset val="100"/>
        <c:noMultiLvlLbl val="0"/>
      </c:catAx>
      <c:valAx>
        <c:axId val="1224650"/>
        <c:scaling>
          <c:orientation val="minMax"/>
        </c:scaling>
        <c:delete val="0"/>
        <c:axPos val="l"/>
        <c:numFmt formatCode="[$-1009]0%" sourceLinked="0"/>
        <c:majorTickMark val="out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 Narrow"/>
                <a:ea typeface="DejaVu Sans"/>
              </a:defRPr>
            </a:pPr>
          </a:p>
        </c:txPr>
        <c:crossAx val="14002187"/>
        <c:crosses val="autoZero"/>
        <c:crossBetween val="midCat"/>
        <c:majorUnit val="0.25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408721284813987"/>
          <c:y val="0.0516051448290285"/>
          <c:w val="0.508030087416142"/>
          <c:h val="0.83640071107393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Main!$A$30</c:f>
              <c:strCache>
                <c:ptCount val="1"/>
                <c:pt idx="0">
                  <c:v>Registered Nurse</c:v>
                </c:pt>
              </c:strCache>
            </c:strRef>
          </c:tx>
          <c:spPr>
            <a:solidFill>
              <a:srgbClr val="1584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1584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Main!$D$30:$AW$30</c:f>
              <c:numCache>
                <c:formatCode>#,##0</c:formatCode>
                <c:ptCount val="43"/>
                <c:pt idx="0">
                  <c:v>29827</c:v>
                </c:pt>
                <c:pt idx="1">
                  <c:v>10949</c:v>
                </c:pt>
                <c:pt idx="2">
                  <c:v>24838</c:v>
                </c:pt>
                <c:pt idx="3">
                  <c:v>30027</c:v>
                </c:pt>
                <c:pt idx="4">
                  <c:v>17167</c:v>
                </c:pt>
                <c:pt idx="5">
                  <c:v>46837</c:v>
                </c:pt>
                <c:pt idx="6">
                  <c:v>41353</c:v>
                </c:pt>
                <c:pt idx="7">
                  <c:v>12210</c:v>
                </c:pt>
                <c:pt idx="8">
                  <c:v>7032</c:v>
                </c:pt>
                <c:pt idx="9">
                  <c:v>9432</c:v>
                </c:pt>
                <c:pt idx="11">
                  <c:v>16973</c:v>
                </c:pt>
                <c:pt idx="12">
                  <c:v>16108</c:v>
                </c:pt>
                <c:pt idx="13">
                  <c:v>42747</c:v>
                </c:pt>
                <c:pt idx="14">
                  <c:v>4294</c:v>
                </c:pt>
                <c:pt idx="15">
                  <c:v>22419</c:v>
                </c:pt>
                <c:pt idx="16">
                  <c:v>9391</c:v>
                </c:pt>
                <c:pt idx="17">
                  <c:v>13998</c:v>
                </c:pt>
                <c:pt idx="18">
                  <c:v>10329</c:v>
                </c:pt>
                <c:pt idx="19">
                  <c:v>17145</c:v>
                </c:pt>
                <c:pt idx="20">
                  <c:v>6132</c:v>
                </c:pt>
                <c:pt idx="22">
                  <c:v>67</c:v>
                </c:pt>
                <c:pt idx="23">
                  <c:v>8234</c:v>
                </c:pt>
                <c:pt idx="25">
                  <c:v>17815</c:v>
                </c:pt>
                <c:pt idx="26">
                  <c:v>36820</c:v>
                </c:pt>
                <c:pt idx="27">
                  <c:v>20040</c:v>
                </c:pt>
                <c:pt idx="28">
                  <c:v>43325</c:v>
                </c:pt>
                <c:pt idx="29">
                  <c:v>76048</c:v>
                </c:pt>
                <c:pt idx="30">
                  <c:v>45328</c:v>
                </c:pt>
                <c:pt idx="31">
                  <c:v>35197</c:v>
                </c:pt>
                <c:pt idx="33">
                  <c:v>13972</c:v>
                </c:pt>
                <c:pt idx="34">
                  <c:v>5707</c:v>
                </c:pt>
                <c:pt idx="35">
                  <c:v>12042</c:v>
                </c:pt>
                <c:pt idx="36">
                  <c:v>26472</c:v>
                </c:pt>
                <c:pt idx="37">
                  <c:v>11496</c:v>
                </c:pt>
                <c:pt idx="38">
                  <c:v>12037</c:v>
                </c:pt>
                <c:pt idx="39">
                  <c:v>12523</c:v>
                </c:pt>
                <c:pt idx="40">
                  <c:v>6554</c:v>
                </c:pt>
                <c:pt idx="41">
                  <c:v>908</c:v>
                </c:pt>
                <c:pt idx="42">
                  <c:v>1703</c:v>
                </c:pt>
              </c:numCache>
            </c:numRef>
          </c:val>
        </c:ser>
        <c:ser>
          <c:idx val="1"/>
          <c:order val="1"/>
          <c:tx>
            <c:strRef>
              <c:f>Main!$A$31</c:f>
              <c:strCache>
                <c:ptCount val="1"/>
                <c:pt idx="0">
                  <c:v>Licensed Practical Nurse</c:v>
                </c:pt>
              </c:strCache>
            </c:strRef>
          </c:tx>
          <c:spPr>
            <a:solidFill>
              <a:srgbClr val="158466">
                <a:alpha val="85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Main!$D$31:$AW$31</c:f>
              <c:numCache>
                <c:formatCode>#,##0</c:formatCode>
                <c:ptCount val="43"/>
                <c:pt idx="0">
                  <c:v>3444</c:v>
                </c:pt>
                <c:pt idx="1">
                  <c:v>0</c:v>
                </c:pt>
                <c:pt idx="2">
                  <c:v>2496</c:v>
                </c:pt>
                <c:pt idx="3">
                  <c:v>10017</c:v>
                </c:pt>
                <c:pt idx="4">
                  <c:v>3755</c:v>
                </c:pt>
                <c:pt idx="5">
                  <c:v>14112</c:v>
                </c:pt>
                <c:pt idx="6">
                  <c:v>5284</c:v>
                </c:pt>
                <c:pt idx="7">
                  <c:v>0</c:v>
                </c:pt>
                <c:pt idx="8">
                  <c:v>1901</c:v>
                </c:pt>
                <c:pt idx="9">
                  <c:v>4577</c:v>
                </c:pt>
                <c:pt idx="11">
                  <c:v>1629</c:v>
                </c:pt>
                <c:pt idx="12">
                  <c:v>363</c:v>
                </c:pt>
                <c:pt idx="13">
                  <c:v>2015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341</c:v>
                </c:pt>
                <c:pt idx="22">
                  <c:v>131</c:v>
                </c:pt>
                <c:pt idx="23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12494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</c:ser>
        <c:ser>
          <c:idx val="2"/>
          <c:order val="2"/>
          <c:tx>
            <c:strRef>
              <c:f>Main!$A$28</c:f>
              <c:strCache>
                <c:ptCount val="1"/>
                <c:pt idx="0">
                  <c:v>Family Physician </c:v>
                </c:pt>
              </c:strCache>
            </c:strRef>
          </c:tx>
          <c:spPr>
            <a:solidFill>
              <a:srgbClr val="2A6099">
                <a:alpha val="2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2A6099">
                  <a:alpha val="2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Main!$D$28:$AW$28</c:f>
              <c:numCache>
                <c:formatCode>#,##0</c:formatCode>
                <c:ptCount val="43"/>
                <c:pt idx="0">
                  <c:v>7184</c:v>
                </c:pt>
                <c:pt idx="1">
                  <c:v>4907</c:v>
                </c:pt>
                <c:pt idx="2">
                  <c:v>7333</c:v>
                </c:pt>
                <c:pt idx="3">
                  <c:v>6901</c:v>
                </c:pt>
                <c:pt idx="4">
                  <c:v>7655</c:v>
                </c:pt>
                <c:pt idx="5">
                  <c:v>21587</c:v>
                </c:pt>
                <c:pt idx="6">
                  <c:v>18582</c:v>
                </c:pt>
                <c:pt idx="7">
                  <c:v>2691</c:v>
                </c:pt>
                <c:pt idx="8">
                  <c:v>2114</c:v>
                </c:pt>
                <c:pt idx="9">
                  <c:v>562</c:v>
                </c:pt>
                <c:pt idx="11">
                  <c:v>24462</c:v>
                </c:pt>
                <c:pt idx="12">
                  <c:v>2905</c:v>
                </c:pt>
                <c:pt idx="13">
                  <c:v>28188</c:v>
                </c:pt>
                <c:pt idx="14">
                  <c:v>368</c:v>
                </c:pt>
                <c:pt idx="15">
                  <c:v>9717</c:v>
                </c:pt>
                <c:pt idx="16">
                  <c:v>5370</c:v>
                </c:pt>
                <c:pt idx="17">
                  <c:v>3862</c:v>
                </c:pt>
                <c:pt idx="18">
                  <c:v>8373</c:v>
                </c:pt>
                <c:pt idx="19">
                  <c:v>8057</c:v>
                </c:pt>
                <c:pt idx="20">
                  <c:v>1655</c:v>
                </c:pt>
                <c:pt idx="22">
                  <c:v>4650</c:v>
                </c:pt>
                <c:pt idx="23">
                  <c:v>21986</c:v>
                </c:pt>
                <c:pt idx="25">
                  <c:v>5679</c:v>
                </c:pt>
                <c:pt idx="26">
                  <c:v>13189</c:v>
                </c:pt>
                <c:pt idx="27">
                  <c:v>12688</c:v>
                </c:pt>
                <c:pt idx="28">
                  <c:v>14563</c:v>
                </c:pt>
                <c:pt idx="29">
                  <c:v>22017</c:v>
                </c:pt>
                <c:pt idx="30">
                  <c:v>13332</c:v>
                </c:pt>
                <c:pt idx="31">
                  <c:v>12000</c:v>
                </c:pt>
                <c:pt idx="33">
                  <c:v>12465</c:v>
                </c:pt>
                <c:pt idx="34">
                  <c:v>16027</c:v>
                </c:pt>
                <c:pt idx="35">
                  <c:v>12931</c:v>
                </c:pt>
                <c:pt idx="36">
                  <c:v>40056</c:v>
                </c:pt>
                <c:pt idx="37">
                  <c:v>10495</c:v>
                </c:pt>
                <c:pt idx="38">
                  <c:v>7986</c:v>
                </c:pt>
                <c:pt idx="39">
                  <c:v>17289</c:v>
                </c:pt>
                <c:pt idx="40">
                  <c:v>12075</c:v>
                </c:pt>
                <c:pt idx="41">
                  <c:v>2413</c:v>
                </c:pt>
                <c:pt idx="42">
                  <c:v>1858</c:v>
                </c:pt>
              </c:numCache>
            </c:numRef>
          </c:val>
        </c:ser>
        <c:ser>
          <c:idx val="3"/>
          <c:order val="3"/>
          <c:tx>
            <c:strRef>
              <c:f>Main!$A$29</c:f>
              <c:strCache>
                <c:ptCount val="1"/>
                <c:pt idx="0">
                  <c:v>Nurse Practitioner</c:v>
                </c:pt>
              </c:strCache>
            </c:strRef>
          </c:tx>
          <c:spPr>
            <a:solidFill>
              <a:srgbClr val="2A6099">
                <a:alpha val="15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Main!$D$29:$AW$29</c:f>
              <c:numCache>
                <c:formatCode>#,##0</c:formatCode>
                <c:ptCount val="43"/>
                <c:pt idx="0">
                  <c:v>5244</c:v>
                </c:pt>
                <c:pt idx="1">
                  <c:v>0</c:v>
                </c:pt>
                <c:pt idx="2">
                  <c:v>446</c:v>
                </c:pt>
                <c:pt idx="3">
                  <c:v>7357</c:v>
                </c:pt>
                <c:pt idx="4">
                  <c:v>4654</c:v>
                </c:pt>
                <c:pt idx="5">
                  <c:v>6323</c:v>
                </c:pt>
                <c:pt idx="6">
                  <c:v>8450</c:v>
                </c:pt>
                <c:pt idx="7">
                  <c:v>565</c:v>
                </c:pt>
                <c:pt idx="8">
                  <c:v>1442</c:v>
                </c:pt>
                <c:pt idx="9">
                  <c:v>4626</c:v>
                </c:pt>
                <c:pt idx="11">
                  <c:v>523</c:v>
                </c:pt>
                <c:pt idx="12">
                  <c:v>5240</c:v>
                </c:pt>
                <c:pt idx="13">
                  <c:v>8524</c:v>
                </c:pt>
                <c:pt idx="14">
                  <c:v>632</c:v>
                </c:pt>
                <c:pt idx="15">
                  <c:v>7708</c:v>
                </c:pt>
                <c:pt idx="16">
                  <c:v>4386</c:v>
                </c:pt>
                <c:pt idx="17">
                  <c:v>4836</c:v>
                </c:pt>
                <c:pt idx="18">
                  <c:v>238</c:v>
                </c:pt>
                <c:pt idx="19">
                  <c:v>10615</c:v>
                </c:pt>
                <c:pt idx="20">
                  <c:v>794</c:v>
                </c:pt>
                <c:pt idx="22">
                  <c:v>722</c:v>
                </c:pt>
                <c:pt idx="23">
                  <c:v>5</c:v>
                </c:pt>
                <c:pt idx="25">
                  <c:v>3522</c:v>
                </c:pt>
                <c:pt idx="26">
                  <c:v>10183</c:v>
                </c:pt>
                <c:pt idx="27">
                  <c:v>6197</c:v>
                </c:pt>
                <c:pt idx="28">
                  <c:v>9401</c:v>
                </c:pt>
                <c:pt idx="29">
                  <c:v>11563</c:v>
                </c:pt>
                <c:pt idx="30">
                  <c:v>10151</c:v>
                </c:pt>
                <c:pt idx="31">
                  <c:v>5829</c:v>
                </c:pt>
                <c:pt idx="33">
                  <c:v>1453</c:v>
                </c:pt>
                <c:pt idx="34">
                  <c:v>610</c:v>
                </c:pt>
                <c:pt idx="35">
                  <c:v>0</c:v>
                </c:pt>
                <c:pt idx="36">
                  <c:v>0</c:v>
                </c:pt>
                <c:pt idx="37">
                  <c:v>1667</c:v>
                </c:pt>
                <c:pt idx="38">
                  <c:v>1369</c:v>
                </c:pt>
                <c:pt idx="39">
                  <c:v>13291</c:v>
                </c:pt>
                <c:pt idx="40">
                  <c:v>511</c:v>
                </c:pt>
                <c:pt idx="41">
                  <c:v>729</c:v>
                </c:pt>
                <c:pt idx="42">
                  <c:v>639</c:v>
                </c:pt>
              </c:numCache>
            </c:numRef>
          </c:val>
        </c:ser>
        <c:ser>
          <c:idx val="4"/>
          <c:order val="4"/>
          <c:tx>
            <c:strRef>
              <c:f>Main!$A$32</c:f>
              <c:strCache>
                <c:ptCount val="1"/>
                <c:pt idx="0">
                  <c:v>Allied Health</c:v>
                </c:pt>
              </c:strCache>
            </c:strRef>
          </c:tx>
          <c:spPr>
            <a:solidFill>
              <a:srgbClr val="6B5E9B">
                <a:alpha val="2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Main!$D$32:$AW$32</c:f>
              <c:numCache>
                <c:formatCode>#,##0</c:formatCode>
                <c:ptCount val="43"/>
                <c:pt idx="0">
                  <c:v>1536</c:v>
                </c:pt>
                <c:pt idx="1">
                  <c:v>1847</c:v>
                </c:pt>
                <c:pt idx="2">
                  <c:v>165</c:v>
                </c:pt>
                <c:pt idx="3">
                  <c:v>993</c:v>
                </c:pt>
                <c:pt idx="4">
                  <c:v>1760</c:v>
                </c:pt>
                <c:pt idx="5">
                  <c:v>2388</c:v>
                </c:pt>
                <c:pt idx="6">
                  <c:v>1659</c:v>
                </c:pt>
                <c:pt idx="7">
                  <c:v>0</c:v>
                </c:pt>
                <c:pt idx="8">
                  <c:v>0</c:v>
                </c:pt>
                <c:pt idx="9">
                  <c:v>623</c:v>
                </c:pt>
                <c:pt idx="11">
                  <c:v>3825</c:v>
                </c:pt>
                <c:pt idx="12">
                  <c:v>2356</c:v>
                </c:pt>
                <c:pt idx="13">
                  <c:v>10304</c:v>
                </c:pt>
                <c:pt idx="14">
                  <c:v>2520</c:v>
                </c:pt>
                <c:pt idx="15">
                  <c:v>5682</c:v>
                </c:pt>
                <c:pt idx="16">
                  <c:v>3431</c:v>
                </c:pt>
                <c:pt idx="17">
                  <c:v>4268</c:v>
                </c:pt>
                <c:pt idx="18">
                  <c:v>8</c:v>
                </c:pt>
                <c:pt idx="19">
                  <c:v>2928</c:v>
                </c:pt>
                <c:pt idx="20">
                  <c:v>247</c:v>
                </c:pt>
                <c:pt idx="22">
                  <c:v>624</c:v>
                </c:pt>
                <c:pt idx="23">
                  <c:v>0</c:v>
                </c:pt>
                <c:pt idx="25">
                  <c:v>0</c:v>
                </c:pt>
                <c:pt idx="26">
                  <c:v>486</c:v>
                </c:pt>
                <c:pt idx="27">
                  <c:v>2373</c:v>
                </c:pt>
                <c:pt idx="28">
                  <c:v>1747</c:v>
                </c:pt>
                <c:pt idx="29">
                  <c:v>2630</c:v>
                </c:pt>
                <c:pt idx="30">
                  <c:v>580</c:v>
                </c:pt>
                <c:pt idx="31">
                  <c:v>993</c:v>
                </c:pt>
                <c:pt idx="33">
                  <c:v>1444</c:v>
                </c:pt>
                <c:pt idx="34">
                  <c:v>3334</c:v>
                </c:pt>
                <c:pt idx="35">
                  <c:v>646</c:v>
                </c:pt>
                <c:pt idx="36">
                  <c:v>3390</c:v>
                </c:pt>
                <c:pt idx="37">
                  <c:v>1345</c:v>
                </c:pt>
                <c:pt idx="38">
                  <c:v>2328</c:v>
                </c:pt>
                <c:pt idx="39">
                  <c:v>2345</c:v>
                </c:pt>
                <c:pt idx="40">
                  <c:v>1363</c:v>
                </c:pt>
                <c:pt idx="41">
                  <c:v>0</c:v>
                </c:pt>
                <c:pt idx="42">
                  <c:v>29</c:v>
                </c:pt>
              </c:numCache>
            </c:numRef>
          </c:val>
        </c:ser>
        <c:gapWidth val="20"/>
        <c:overlap val="100"/>
        <c:axId val="65212289"/>
        <c:axId val="73936706"/>
      </c:barChart>
      <c:catAx>
        <c:axId val="65212289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73936706"/>
        <c:crosses val="autoZero"/>
        <c:auto val="1"/>
        <c:lblAlgn val="ctr"/>
        <c:lblOffset val="100"/>
        <c:noMultiLvlLbl val="0"/>
      </c:catAx>
      <c:valAx>
        <c:axId val="73936706"/>
        <c:scaling>
          <c:orientation val="minMax"/>
        </c:scaling>
        <c:delete val="0"/>
        <c:axPos val="l"/>
        <c:numFmt formatCode="[$-1009]0%" sourceLinked="0"/>
        <c:majorTickMark val="out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 Narrow"/>
                <a:ea typeface="DejaVu Sans"/>
              </a:defRPr>
            </a:pPr>
          </a:p>
        </c:txPr>
        <c:crossAx val="65212289"/>
        <c:crosses val="autoZero"/>
        <c:crossBetween val="midCat"/>
        <c:majorUnit val="0.25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367692674779289"/>
          <c:y val="0.0461019897792759"/>
          <c:w val="0.596277738010022"/>
          <c:h val="0.86968576709796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Main!$A$32</c:f>
              <c:strCache>
                <c:ptCount val="1"/>
                <c:pt idx="0">
                  <c:v>Allied Health</c:v>
                </c:pt>
              </c:strCache>
            </c:strRef>
          </c:tx>
          <c:spPr>
            <a:solidFill>
              <a:srgbClr val="6B5E9B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Main!$D$32:$AW$32</c:f>
              <c:numCache>
                <c:formatCode>#,##0</c:formatCode>
                <c:ptCount val="43"/>
                <c:pt idx="0">
                  <c:v>1536</c:v>
                </c:pt>
                <c:pt idx="1">
                  <c:v>1847</c:v>
                </c:pt>
                <c:pt idx="2">
                  <c:v>165</c:v>
                </c:pt>
                <c:pt idx="3">
                  <c:v>993</c:v>
                </c:pt>
                <c:pt idx="4">
                  <c:v>1760</c:v>
                </c:pt>
                <c:pt idx="5">
                  <c:v>2388</c:v>
                </c:pt>
                <c:pt idx="6">
                  <c:v>1659</c:v>
                </c:pt>
                <c:pt idx="7">
                  <c:v>0</c:v>
                </c:pt>
                <c:pt idx="8">
                  <c:v>0</c:v>
                </c:pt>
                <c:pt idx="9">
                  <c:v>623</c:v>
                </c:pt>
                <c:pt idx="11">
                  <c:v>3825</c:v>
                </c:pt>
                <c:pt idx="12">
                  <c:v>2356</c:v>
                </c:pt>
                <c:pt idx="13">
                  <c:v>10304</c:v>
                </c:pt>
                <c:pt idx="14">
                  <c:v>2520</c:v>
                </c:pt>
                <c:pt idx="15">
                  <c:v>5682</c:v>
                </c:pt>
                <c:pt idx="16">
                  <c:v>3431</c:v>
                </c:pt>
                <c:pt idx="17">
                  <c:v>4268</c:v>
                </c:pt>
                <c:pt idx="18">
                  <c:v>8</c:v>
                </c:pt>
                <c:pt idx="19">
                  <c:v>2928</c:v>
                </c:pt>
                <c:pt idx="20">
                  <c:v>247</c:v>
                </c:pt>
                <c:pt idx="22">
                  <c:v>624</c:v>
                </c:pt>
                <c:pt idx="23">
                  <c:v>0</c:v>
                </c:pt>
                <c:pt idx="25">
                  <c:v>0</c:v>
                </c:pt>
                <c:pt idx="26">
                  <c:v>486</c:v>
                </c:pt>
                <c:pt idx="27">
                  <c:v>2373</c:v>
                </c:pt>
                <c:pt idx="28">
                  <c:v>1747</c:v>
                </c:pt>
                <c:pt idx="29">
                  <c:v>2630</c:v>
                </c:pt>
                <c:pt idx="30">
                  <c:v>580</c:v>
                </c:pt>
                <c:pt idx="31">
                  <c:v>993</c:v>
                </c:pt>
                <c:pt idx="33">
                  <c:v>1444</c:v>
                </c:pt>
                <c:pt idx="34">
                  <c:v>3334</c:v>
                </c:pt>
                <c:pt idx="35">
                  <c:v>646</c:v>
                </c:pt>
                <c:pt idx="36">
                  <c:v>3390</c:v>
                </c:pt>
                <c:pt idx="37">
                  <c:v>1345</c:v>
                </c:pt>
                <c:pt idx="38">
                  <c:v>2328</c:v>
                </c:pt>
                <c:pt idx="39">
                  <c:v>2345</c:v>
                </c:pt>
                <c:pt idx="40">
                  <c:v>1363</c:v>
                </c:pt>
                <c:pt idx="41">
                  <c:v>0</c:v>
                </c:pt>
                <c:pt idx="42">
                  <c:v>29</c:v>
                </c:pt>
              </c:numCache>
            </c:numRef>
          </c:val>
        </c:ser>
        <c:ser>
          <c:idx val="1"/>
          <c:order val="1"/>
          <c:tx>
            <c:strRef>
              <c:f>Main!$A$28</c:f>
              <c:strCache>
                <c:ptCount val="1"/>
                <c:pt idx="0">
                  <c:v>Family Physician </c:v>
                </c:pt>
              </c:strCache>
            </c:strRef>
          </c:tx>
          <c:spPr>
            <a:solidFill>
              <a:srgbClr val="2A6099">
                <a:alpha val="2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2A6099">
                  <a:alpha val="2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Main!$D$28:$AW$28</c:f>
              <c:numCache>
                <c:formatCode>#,##0</c:formatCode>
                <c:ptCount val="43"/>
                <c:pt idx="0">
                  <c:v>7184</c:v>
                </c:pt>
                <c:pt idx="1">
                  <c:v>4907</c:v>
                </c:pt>
                <c:pt idx="2">
                  <c:v>7333</c:v>
                </c:pt>
                <c:pt idx="3">
                  <c:v>6901</c:v>
                </c:pt>
                <c:pt idx="4">
                  <c:v>7655</c:v>
                </c:pt>
                <c:pt idx="5">
                  <c:v>21587</c:v>
                </c:pt>
                <c:pt idx="6">
                  <c:v>18582</c:v>
                </c:pt>
                <c:pt idx="7">
                  <c:v>2691</c:v>
                </c:pt>
                <c:pt idx="8">
                  <c:v>2114</c:v>
                </c:pt>
                <c:pt idx="9">
                  <c:v>562</c:v>
                </c:pt>
                <c:pt idx="11">
                  <c:v>24462</c:v>
                </c:pt>
                <c:pt idx="12">
                  <c:v>2905</c:v>
                </c:pt>
                <c:pt idx="13">
                  <c:v>28188</c:v>
                </c:pt>
                <c:pt idx="14">
                  <c:v>368</c:v>
                </c:pt>
                <c:pt idx="15">
                  <c:v>9717</c:v>
                </c:pt>
                <c:pt idx="16">
                  <c:v>5370</c:v>
                </c:pt>
                <c:pt idx="17">
                  <c:v>3862</c:v>
                </c:pt>
                <c:pt idx="18">
                  <c:v>8373</c:v>
                </c:pt>
                <c:pt idx="19">
                  <c:v>8057</c:v>
                </c:pt>
                <c:pt idx="20">
                  <c:v>1655</c:v>
                </c:pt>
                <c:pt idx="22">
                  <c:v>4650</c:v>
                </c:pt>
                <c:pt idx="23">
                  <c:v>21986</c:v>
                </c:pt>
                <c:pt idx="25">
                  <c:v>5679</c:v>
                </c:pt>
                <c:pt idx="26">
                  <c:v>13189</c:v>
                </c:pt>
                <c:pt idx="27">
                  <c:v>12688</c:v>
                </c:pt>
                <c:pt idx="28">
                  <c:v>14563</c:v>
                </c:pt>
                <c:pt idx="29">
                  <c:v>22017</c:v>
                </c:pt>
                <c:pt idx="30">
                  <c:v>13332</c:v>
                </c:pt>
                <c:pt idx="31">
                  <c:v>12000</c:v>
                </c:pt>
                <c:pt idx="33">
                  <c:v>12465</c:v>
                </c:pt>
                <c:pt idx="34">
                  <c:v>16027</c:v>
                </c:pt>
                <c:pt idx="35">
                  <c:v>12931</c:v>
                </c:pt>
                <c:pt idx="36">
                  <c:v>40056</c:v>
                </c:pt>
                <c:pt idx="37">
                  <c:v>10495</c:v>
                </c:pt>
                <c:pt idx="38">
                  <c:v>7986</c:v>
                </c:pt>
                <c:pt idx="39">
                  <c:v>17289</c:v>
                </c:pt>
                <c:pt idx="40">
                  <c:v>12075</c:v>
                </c:pt>
                <c:pt idx="41">
                  <c:v>2413</c:v>
                </c:pt>
                <c:pt idx="42">
                  <c:v>1858</c:v>
                </c:pt>
              </c:numCache>
            </c:numRef>
          </c:val>
        </c:ser>
        <c:ser>
          <c:idx val="2"/>
          <c:order val="2"/>
          <c:tx>
            <c:strRef>
              <c:f>Main!$A$29</c:f>
              <c:strCache>
                <c:ptCount val="1"/>
                <c:pt idx="0">
                  <c:v>Nurse Practitioner</c:v>
                </c:pt>
              </c:strCache>
            </c:strRef>
          </c:tx>
          <c:spPr>
            <a:solidFill>
              <a:srgbClr val="2A6099">
                <a:alpha val="15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Main!$D$29:$AW$29</c:f>
              <c:numCache>
                <c:formatCode>#,##0</c:formatCode>
                <c:ptCount val="43"/>
                <c:pt idx="0">
                  <c:v>5244</c:v>
                </c:pt>
                <c:pt idx="1">
                  <c:v>0</c:v>
                </c:pt>
                <c:pt idx="2">
                  <c:v>446</c:v>
                </c:pt>
                <c:pt idx="3">
                  <c:v>7357</c:v>
                </c:pt>
                <c:pt idx="4">
                  <c:v>4654</c:v>
                </c:pt>
                <c:pt idx="5">
                  <c:v>6323</c:v>
                </c:pt>
                <c:pt idx="6">
                  <c:v>8450</c:v>
                </c:pt>
                <c:pt idx="7">
                  <c:v>565</c:v>
                </c:pt>
                <c:pt idx="8">
                  <c:v>1442</c:v>
                </c:pt>
                <c:pt idx="9">
                  <c:v>4626</c:v>
                </c:pt>
                <c:pt idx="11">
                  <c:v>523</c:v>
                </c:pt>
                <c:pt idx="12">
                  <c:v>5240</c:v>
                </c:pt>
                <c:pt idx="13">
                  <c:v>8524</c:v>
                </c:pt>
                <c:pt idx="14">
                  <c:v>632</c:v>
                </c:pt>
                <c:pt idx="15">
                  <c:v>7708</c:v>
                </c:pt>
                <c:pt idx="16">
                  <c:v>4386</c:v>
                </c:pt>
                <c:pt idx="17">
                  <c:v>4836</c:v>
                </c:pt>
                <c:pt idx="18">
                  <c:v>238</c:v>
                </c:pt>
                <c:pt idx="19">
                  <c:v>10615</c:v>
                </c:pt>
                <c:pt idx="20">
                  <c:v>794</c:v>
                </c:pt>
                <c:pt idx="22">
                  <c:v>722</c:v>
                </c:pt>
                <c:pt idx="23">
                  <c:v>5</c:v>
                </c:pt>
                <c:pt idx="25">
                  <c:v>3522</c:v>
                </c:pt>
                <c:pt idx="26">
                  <c:v>10183</c:v>
                </c:pt>
                <c:pt idx="27">
                  <c:v>6197</c:v>
                </c:pt>
                <c:pt idx="28">
                  <c:v>9401</c:v>
                </c:pt>
                <c:pt idx="29">
                  <c:v>11563</c:v>
                </c:pt>
                <c:pt idx="30">
                  <c:v>10151</c:v>
                </c:pt>
                <c:pt idx="31">
                  <c:v>5829</c:v>
                </c:pt>
                <c:pt idx="33">
                  <c:v>1453</c:v>
                </c:pt>
                <c:pt idx="34">
                  <c:v>610</c:v>
                </c:pt>
                <c:pt idx="35">
                  <c:v>0</c:v>
                </c:pt>
                <c:pt idx="36">
                  <c:v>0</c:v>
                </c:pt>
                <c:pt idx="37">
                  <c:v>1667</c:v>
                </c:pt>
                <c:pt idx="38">
                  <c:v>1369</c:v>
                </c:pt>
                <c:pt idx="39">
                  <c:v>13291</c:v>
                </c:pt>
                <c:pt idx="40">
                  <c:v>511</c:v>
                </c:pt>
                <c:pt idx="41">
                  <c:v>729</c:v>
                </c:pt>
                <c:pt idx="42">
                  <c:v>639</c:v>
                </c:pt>
              </c:numCache>
            </c:numRef>
          </c:val>
        </c:ser>
        <c:ser>
          <c:idx val="3"/>
          <c:order val="3"/>
          <c:tx>
            <c:strRef>
              <c:f>Main!$A$30</c:f>
              <c:strCache>
                <c:ptCount val="1"/>
                <c:pt idx="0">
                  <c:v>Registered Nurse</c:v>
                </c:pt>
              </c:strCache>
            </c:strRef>
          </c:tx>
          <c:spPr>
            <a:solidFill>
              <a:srgbClr val="158466">
                <a:alpha val="2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158466">
                  <a:alpha val="2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Main!$D$30:$AW$30</c:f>
              <c:numCache>
                <c:formatCode>#,##0</c:formatCode>
                <c:ptCount val="43"/>
                <c:pt idx="0">
                  <c:v>29827</c:v>
                </c:pt>
                <c:pt idx="1">
                  <c:v>10949</c:v>
                </c:pt>
                <c:pt idx="2">
                  <c:v>24838</c:v>
                </c:pt>
                <c:pt idx="3">
                  <c:v>30027</c:v>
                </c:pt>
                <c:pt idx="4">
                  <c:v>17167</c:v>
                </c:pt>
                <c:pt idx="5">
                  <c:v>46837</c:v>
                </c:pt>
                <c:pt idx="6">
                  <c:v>41353</c:v>
                </c:pt>
                <c:pt idx="7">
                  <c:v>12210</c:v>
                </c:pt>
                <c:pt idx="8">
                  <c:v>7032</c:v>
                </c:pt>
                <c:pt idx="9">
                  <c:v>9432</c:v>
                </c:pt>
                <c:pt idx="11">
                  <c:v>16973</c:v>
                </c:pt>
                <c:pt idx="12">
                  <c:v>16108</c:v>
                </c:pt>
                <c:pt idx="13">
                  <c:v>42747</c:v>
                </c:pt>
                <c:pt idx="14">
                  <c:v>4294</c:v>
                </c:pt>
                <c:pt idx="15">
                  <c:v>22419</c:v>
                </c:pt>
                <c:pt idx="16">
                  <c:v>9391</c:v>
                </c:pt>
                <c:pt idx="17">
                  <c:v>13998</c:v>
                </c:pt>
                <c:pt idx="18">
                  <c:v>10329</c:v>
                </c:pt>
                <c:pt idx="19">
                  <c:v>17145</c:v>
                </c:pt>
                <c:pt idx="20">
                  <c:v>6132</c:v>
                </c:pt>
                <c:pt idx="22">
                  <c:v>67</c:v>
                </c:pt>
                <c:pt idx="23">
                  <c:v>8234</c:v>
                </c:pt>
                <c:pt idx="25">
                  <c:v>17815</c:v>
                </c:pt>
                <c:pt idx="26">
                  <c:v>36820</c:v>
                </c:pt>
                <c:pt idx="27">
                  <c:v>20040</c:v>
                </c:pt>
                <c:pt idx="28">
                  <c:v>43325</c:v>
                </c:pt>
                <c:pt idx="29">
                  <c:v>76048</c:v>
                </c:pt>
                <c:pt idx="30">
                  <c:v>45328</c:v>
                </c:pt>
                <c:pt idx="31">
                  <c:v>35197</c:v>
                </c:pt>
                <c:pt idx="33">
                  <c:v>13972</c:v>
                </c:pt>
                <c:pt idx="34">
                  <c:v>5707</c:v>
                </c:pt>
                <c:pt idx="35">
                  <c:v>12042</c:v>
                </c:pt>
                <c:pt idx="36">
                  <c:v>26472</c:v>
                </c:pt>
                <c:pt idx="37">
                  <c:v>11496</c:v>
                </c:pt>
                <c:pt idx="38">
                  <c:v>12037</c:v>
                </c:pt>
                <c:pt idx="39">
                  <c:v>12523</c:v>
                </c:pt>
                <c:pt idx="40">
                  <c:v>6554</c:v>
                </c:pt>
                <c:pt idx="41">
                  <c:v>908</c:v>
                </c:pt>
                <c:pt idx="42">
                  <c:v>1703</c:v>
                </c:pt>
              </c:numCache>
            </c:numRef>
          </c:val>
        </c:ser>
        <c:ser>
          <c:idx val="4"/>
          <c:order val="4"/>
          <c:tx>
            <c:strRef>
              <c:f>Main!$A$31</c:f>
              <c:strCache>
                <c:ptCount val="1"/>
                <c:pt idx="0">
                  <c:v>Licensed Practical Nurse</c:v>
                </c:pt>
              </c:strCache>
            </c:strRef>
          </c:tx>
          <c:spPr>
            <a:solidFill>
              <a:srgbClr val="158466">
                <a:alpha val="15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Main!$D$31:$AW$31</c:f>
              <c:numCache>
                <c:formatCode>#,##0</c:formatCode>
                <c:ptCount val="43"/>
                <c:pt idx="0">
                  <c:v>3444</c:v>
                </c:pt>
                <c:pt idx="1">
                  <c:v>0</c:v>
                </c:pt>
                <c:pt idx="2">
                  <c:v>2496</c:v>
                </c:pt>
                <c:pt idx="3">
                  <c:v>10017</c:v>
                </c:pt>
                <c:pt idx="4">
                  <c:v>3755</c:v>
                </c:pt>
                <c:pt idx="5">
                  <c:v>14112</c:v>
                </c:pt>
                <c:pt idx="6">
                  <c:v>5284</c:v>
                </c:pt>
                <c:pt idx="7">
                  <c:v>0</c:v>
                </c:pt>
                <c:pt idx="8">
                  <c:v>1901</c:v>
                </c:pt>
                <c:pt idx="9">
                  <c:v>4577</c:v>
                </c:pt>
                <c:pt idx="11">
                  <c:v>1629</c:v>
                </c:pt>
                <c:pt idx="12">
                  <c:v>363</c:v>
                </c:pt>
                <c:pt idx="13">
                  <c:v>2015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341</c:v>
                </c:pt>
                <c:pt idx="22">
                  <c:v>131</c:v>
                </c:pt>
                <c:pt idx="23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12494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</c:ser>
        <c:gapWidth val="20"/>
        <c:overlap val="100"/>
        <c:axId val="42748579"/>
        <c:axId val="30606228"/>
      </c:barChart>
      <c:catAx>
        <c:axId val="42748579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30606228"/>
        <c:crosses val="autoZero"/>
        <c:auto val="1"/>
        <c:lblAlgn val="ctr"/>
        <c:lblOffset val="100"/>
        <c:noMultiLvlLbl val="0"/>
      </c:catAx>
      <c:valAx>
        <c:axId val="30606228"/>
        <c:scaling>
          <c:orientation val="minMax"/>
        </c:scaling>
        <c:delete val="0"/>
        <c:axPos val="l"/>
        <c:numFmt formatCode="[$-1009]0%" sourceLinked="0"/>
        <c:majorTickMark val="out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 Narrow"/>
                <a:ea typeface="DejaVu Sans"/>
              </a:defRPr>
            </a:pPr>
          </a:p>
        </c:txPr>
        <c:crossAx val="42748579"/>
        <c:crosses val="autoZero"/>
        <c:crossBetween val="midCat"/>
        <c:majorUnit val="0.25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265944645006017"/>
          <c:y val="0.0461265850822305"/>
          <c:w val="0.515557847687812"/>
          <c:h val="0.88581870535467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Main!$A$237</c:f>
              <c:strCache>
                <c:ptCount val="1"/>
                <c:pt idx="0">
                  <c:v>Patient Visits</c:v>
                </c:pt>
              </c:strCache>
            </c:strRef>
          </c:tx>
          <c:spPr>
            <a:solidFill>
              <a:srgbClr val="B85C00">
                <a:alpha val="5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B85C00">
                  <a:alpha val="5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Main!$D$237:$AW$237</c:f>
              <c:numCache>
                <c:formatCode>#,##0</c:formatCode>
                <c:ptCount val="43"/>
                <c:pt idx="0">
                  <c:v>32454</c:v>
                </c:pt>
                <c:pt idx="1">
                  <c:v>10753</c:v>
                </c:pt>
                <c:pt idx="2">
                  <c:v>22778</c:v>
                </c:pt>
                <c:pt idx="3">
                  <c:v>35486</c:v>
                </c:pt>
                <c:pt idx="4">
                  <c:v>22802</c:v>
                </c:pt>
                <c:pt idx="5">
                  <c:v>52356</c:v>
                </c:pt>
                <c:pt idx="6">
                  <c:v>50878</c:v>
                </c:pt>
                <c:pt idx="7">
                  <c:v>11619</c:v>
                </c:pt>
                <c:pt idx="8">
                  <c:v>7629</c:v>
                </c:pt>
                <c:pt idx="9">
                  <c:v>13239</c:v>
                </c:pt>
                <c:pt idx="11">
                  <c:v>41555</c:v>
                </c:pt>
                <c:pt idx="12">
                  <c:v>19970</c:v>
                </c:pt>
                <c:pt idx="13">
                  <c:v>50784</c:v>
                </c:pt>
                <c:pt idx="14">
                  <c:v>6755</c:v>
                </c:pt>
                <c:pt idx="15">
                  <c:v>29045</c:v>
                </c:pt>
                <c:pt idx="16">
                  <c:v>16379</c:v>
                </c:pt>
                <c:pt idx="17">
                  <c:v>18003</c:v>
                </c:pt>
                <c:pt idx="18">
                  <c:v>10776</c:v>
                </c:pt>
                <c:pt idx="19">
                  <c:v>25153</c:v>
                </c:pt>
                <c:pt idx="20">
                  <c:v>6235</c:v>
                </c:pt>
                <c:pt idx="22">
                  <c:v>6099</c:v>
                </c:pt>
                <c:pt idx="23">
                  <c:v>26805</c:v>
                </c:pt>
                <c:pt idx="25">
                  <c:v>25973</c:v>
                </c:pt>
                <c:pt idx="26">
                  <c:v>24438</c:v>
                </c:pt>
                <c:pt idx="27">
                  <c:v>22067</c:v>
                </c:pt>
                <c:pt idx="28">
                  <c:v>24310</c:v>
                </c:pt>
                <c:pt idx="29">
                  <c:v>35397</c:v>
                </c:pt>
                <c:pt idx="30">
                  <c:v>24270</c:v>
                </c:pt>
                <c:pt idx="31">
                  <c:v>18443</c:v>
                </c:pt>
                <c:pt idx="33">
                  <c:v>18203</c:v>
                </c:pt>
                <c:pt idx="34">
                  <c:v>18859</c:v>
                </c:pt>
                <c:pt idx="35">
                  <c:v>22258</c:v>
                </c:pt>
                <c:pt idx="36">
                  <c:v>58733</c:v>
                </c:pt>
                <c:pt idx="37">
                  <c:v>17210</c:v>
                </c:pt>
                <c:pt idx="38">
                  <c:v>18227</c:v>
                </c:pt>
                <c:pt idx="39">
                  <c:v>30280</c:v>
                </c:pt>
                <c:pt idx="40">
                  <c:v>14350</c:v>
                </c:pt>
                <c:pt idx="41">
                  <c:v>3649</c:v>
                </c:pt>
                <c:pt idx="42">
                  <c:v>3680</c:v>
                </c:pt>
              </c:numCache>
            </c:numRef>
          </c:val>
        </c:ser>
        <c:gapWidth val="20"/>
        <c:overlap val="100"/>
        <c:axId val="1176675"/>
        <c:axId val="31397535"/>
      </c:barChart>
      <c:catAx>
        <c:axId val="1176675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31397535"/>
        <c:crosses val="autoZero"/>
        <c:auto val="1"/>
        <c:lblAlgn val="ctr"/>
        <c:lblOffset val="100"/>
        <c:noMultiLvlLbl val="0"/>
      </c:catAx>
      <c:valAx>
        <c:axId val="31397535"/>
        <c:scaling>
          <c:orientation val="minMax"/>
          <c:max val="60000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1176675"/>
        <c:crosses val="autoZero"/>
        <c:crossBetween val="midCat"/>
        <c:majorUnit val="20000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920239566498717"/>
          <c:y val="0.0403333511405524"/>
          <c:w val="0.570206293373895"/>
          <c:h val="0.85458624926545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Main!$A$89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0000">
                <a:alpha val="7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0000">
                  <a:alpha val="70000"/>
                </a:srgbClr>
              </a:solidFill>
              <a:ln w="0">
                <a:noFill/>
              </a:ln>
            </c:spPr>
          </c:dPt>
          <c:dPt>
            <c:idx val="20"/>
            <c:invertIfNegative val="0"/>
            <c:spPr>
              <a:solidFill>
                <a:srgbClr val="FF0000">
                  <a:alpha val="7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Main!$D$89:$AW$89</c:f>
              <c:numCache>
                <c:formatCode>#,##0</c:formatCode>
                <c:ptCount val="43"/>
                <c:pt idx="0">
                  <c:v>3599423.96</c:v>
                </c:pt>
                <c:pt idx="1">
                  <c:v>2514033.36</c:v>
                </c:pt>
                <c:pt idx="2">
                  <c:v>3770948.89</c:v>
                </c:pt>
                <c:pt idx="3">
                  <c:v>4654008.69</c:v>
                </c:pt>
                <c:pt idx="4">
                  <c:v>4317635.06</c:v>
                </c:pt>
                <c:pt idx="5">
                  <c:v>6614435.5</c:v>
                </c:pt>
                <c:pt idx="6">
                  <c:v>6595425.02</c:v>
                </c:pt>
                <c:pt idx="7">
                  <c:v>1634840.55</c:v>
                </c:pt>
                <c:pt idx="8">
                  <c:v>1679728.37</c:v>
                </c:pt>
                <c:pt idx="9">
                  <c:v>3894236.2</c:v>
                </c:pt>
                <c:pt idx="11">
                  <c:v>5167463.45</c:v>
                </c:pt>
                <c:pt idx="12">
                  <c:v>4395437.23</c:v>
                </c:pt>
                <c:pt idx="13">
                  <c:v>7126600.52</c:v>
                </c:pt>
                <c:pt idx="14">
                  <c:v>1804946.28</c:v>
                </c:pt>
                <c:pt idx="15">
                  <c:v>4649824.66</c:v>
                </c:pt>
                <c:pt idx="16">
                  <c:v>3520010.58</c:v>
                </c:pt>
                <c:pt idx="17">
                  <c:v>3740952.43</c:v>
                </c:pt>
                <c:pt idx="18">
                  <c:v>3332764.22</c:v>
                </c:pt>
                <c:pt idx="19">
                  <c:v>5869364.08</c:v>
                </c:pt>
                <c:pt idx="20">
                  <c:v>1671585.07</c:v>
                </c:pt>
                <c:pt idx="22">
                  <c:v>1162221</c:v>
                </c:pt>
                <c:pt idx="23">
                  <c:v>1962956</c:v>
                </c:pt>
                <c:pt idx="25">
                  <c:v>8013336</c:v>
                </c:pt>
                <c:pt idx="26">
                  <c:v>6163979</c:v>
                </c:pt>
                <c:pt idx="27">
                  <c:v>0</c:v>
                </c:pt>
                <c:pt idx="28">
                  <c:v>5719550</c:v>
                </c:pt>
                <c:pt idx="29">
                  <c:v>8282124</c:v>
                </c:pt>
                <c:pt idx="30">
                  <c:v>5523478</c:v>
                </c:pt>
                <c:pt idx="31">
                  <c:v>6362202</c:v>
                </c:pt>
                <c:pt idx="33">
                  <c:v>4636420.58</c:v>
                </c:pt>
                <c:pt idx="34">
                  <c:v>1986457.42</c:v>
                </c:pt>
                <c:pt idx="35">
                  <c:v>4966452.9</c:v>
                </c:pt>
                <c:pt idx="36">
                  <c:v>10296781.42</c:v>
                </c:pt>
                <c:pt idx="37">
                  <c:v>4544153.7</c:v>
                </c:pt>
                <c:pt idx="38">
                  <c:v>4402048.32</c:v>
                </c:pt>
                <c:pt idx="39">
                  <c:v>6109985.84</c:v>
                </c:pt>
                <c:pt idx="40">
                  <c:v>2598825.28</c:v>
                </c:pt>
                <c:pt idx="41">
                  <c:v>727055.55</c:v>
                </c:pt>
                <c:pt idx="42">
                  <c:v>970695.19</c:v>
                </c:pt>
              </c:numCache>
            </c:numRef>
          </c:val>
        </c:ser>
        <c:gapWidth val="20"/>
        <c:overlap val="100"/>
        <c:axId val="3977520"/>
        <c:axId val="75616094"/>
      </c:barChart>
      <c:catAx>
        <c:axId val="397752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75616094"/>
        <c:crosses val="autoZero"/>
        <c:auto val="1"/>
        <c:lblAlgn val="ctr"/>
        <c:lblOffset val="100"/>
        <c:noMultiLvlLbl val="0"/>
      </c:catAx>
      <c:valAx>
        <c:axId val="75616094"/>
        <c:scaling>
          <c:orientation val="minMax"/>
          <c:max val="10000000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\$0,,\M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3977520"/>
        <c:crosses val="autoZero"/>
        <c:crossBetween val="midCat"/>
        <c:majorUnit val="2000000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296211251435132"/>
          <c:y val="0.0155920541560315"/>
          <c:w val="0.669536930730961"/>
          <c:h val="0.8876373321495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Main!$A$122</c:f>
              <c:strCache>
                <c:ptCount val="1"/>
                <c:pt idx="0">
                  <c:v>Cost per Visit</c:v>
                </c:pt>
              </c:strCache>
            </c:strRef>
          </c:tx>
          <c:spPr>
            <a:solidFill>
              <a:srgbClr val="FF0000">
                <a:alpha val="7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0000">
                  <a:alpha val="7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Main!$D$122:$AW$122</c:f>
              <c:numCache>
                <c:formatCode>0.00</c:formatCode>
                <c:ptCount val="43"/>
                <c:pt idx="0">
                  <c:v>110.908484624391</c:v>
                </c:pt>
                <c:pt idx="1">
                  <c:v>233.798322328652</c:v>
                </c:pt>
                <c:pt idx="2">
                  <c:v>165.552238563526</c:v>
                </c:pt>
                <c:pt idx="3">
                  <c:v>131.150557684721</c:v>
                </c:pt>
                <c:pt idx="4">
                  <c:v>189.35334882905</c:v>
                </c:pt>
                <c:pt idx="5">
                  <c:v>126.335768584307</c:v>
                </c:pt>
                <c:pt idx="6">
                  <c:v>129.632159676088</c:v>
                </c:pt>
                <c:pt idx="7">
                  <c:v>140.704066615027</c:v>
                </c:pt>
                <c:pt idx="8">
                  <c:v>220.176742692358</c:v>
                </c:pt>
                <c:pt idx="9">
                  <c:v>294.148817886547</c:v>
                </c:pt>
                <c:pt idx="11">
                  <c:v>124.35238719769</c:v>
                </c:pt>
                <c:pt idx="12">
                  <c:v>220.102014521783</c:v>
                </c:pt>
                <c:pt idx="13">
                  <c:v>140.331610743541</c:v>
                </c:pt>
                <c:pt idx="14">
                  <c:v>267.201521835677</c:v>
                </c:pt>
                <c:pt idx="15">
                  <c:v>160.090365295232</c:v>
                </c:pt>
                <c:pt idx="16">
                  <c:v>214.909981073326</c:v>
                </c:pt>
                <c:pt idx="17">
                  <c:v>207.796057879242</c:v>
                </c:pt>
                <c:pt idx="18">
                  <c:v>309.276560876021</c:v>
                </c:pt>
                <c:pt idx="19">
                  <c:v>233.346482725719</c:v>
                </c:pt>
                <c:pt idx="20">
                  <c:v>268.097044105854</c:v>
                </c:pt>
                <c:pt idx="22">
                  <c:v>190.559272011805</c:v>
                </c:pt>
                <c:pt idx="23">
                  <c:v>73.2309643723186</c:v>
                </c:pt>
                <c:pt idx="25">
                  <c:v>308.525622762099</c:v>
                </c:pt>
                <c:pt idx="26">
                  <c:v>252.229274081349</c:v>
                </c:pt>
                <c:pt idx="27">
                  <c:v>0</c:v>
                </c:pt>
                <c:pt idx="28">
                  <c:v>235.275606746195</c:v>
                </c:pt>
                <c:pt idx="29">
                  <c:v>233.978133740147</c:v>
                </c:pt>
                <c:pt idx="30">
                  <c:v>227.584590028842</c:v>
                </c:pt>
                <c:pt idx="31">
                  <c:v>344.965678035027</c:v>
                </c:pt>
                <c:pt idx="33">
                  <c:v>254.706398945229</c:v>
                </c:pt>
                <c:pt idx="34">
                  <c:v>105.3320653269</c:v>
                </c:pt>
                <c:pt idx="35">
                  <c:v>223.131139365621</c:v>
                </c:pt>
                <c:pt idx="36">
                  <c:v>175.315094069773</c:v>
                </c:pt>
                <c:pt idx="37">
                  <c:v>264.041470075537</c:v>
                </c:pt>
                <c:pt idx="38">
                  <c:v>241.512499039886</c:v>
                </c:pt>
                <c:pt idx="39">
                  <c:v>201.782887714663</c:v>
                </c:pt>
                <c:pt idx="40">
                  <c:v>181.102806968641</c:v>
                </c:pt>
                <c:pt idx="41">
                  <c:v>199.247889832831</c:v>
                </c:pt>
                <c:pt idx="42">
                  <c:v>263.775866847826</c:v>
                </c:pt>
              </c:numCache>
            </c:numRef>
          </c:val>
        </c:ser>
        <c:gapWidth val="20"/>
        <c:overlap val="100"/>
        <c:axId val="49605669"/>
        <c:axId val="65515547"/>
      </c:barChart>
      <c:catAx>
        <c:axId val="49605669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65515547"/>
        <c:crosses val="autoZero"/>
        <c:auto val="1"/>
        <c:lblAlgn val="ctr"/>
        <c:lblOffset val="100"/>
        <c:noMultiLvlLbl val="0"/>
      </c:catAx>
      <c:valAx>
        <c:axId val="65515547"/>
        <c:scaling>
          <c:orientation val="minMax"/>
          <c:max val="350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[$$-1009]#,##0;[RED]\-[$$-1009]#,##0" sourceLinked="0"/>
        <c:majorTickMark val="out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49605669"/>
        <c:crosses val="autoZero"/>
        <c:crossBetween val="midCat"/>
        <c:majorUnit val="50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5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rPr>
              <a:t>BC</a:t>
            </a:r>
          </a:p>
        </c:rich>
      </c:tx>
      <c:layout>
        <c:manualLayout>
          <c:xMode val="edge"/>
          <c:yMode val="edge"/>
          <c:x val="0.0319470699432892"/>
          <c:y val="0.33047790802524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429111531191"/>
          <c:y val="0.322813345356177"/>
          <c:w val="0.661342155009452"/>
          <c:h val="0.67538322813345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Main!$A$238</c:f>
              <c:strCache>
                <c:ptCount val="1"/>
                <c:pt idx="0">
                  <c:v>Primary Care</c:v>
                </c:pt>
              </c:strCache>
            </c:strRef>
          </c:tx>
          <c:spPr>
            <a:solidFill>
              <a:srgbClr val="FF0000">
                <a:alpha val="7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0000">
                  <a:alpha val="7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Main!$D$227:$AS$227</c:f>
              <c:strCache>
                <c:ptCount val="41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</c:strCache>
            </c:strRef>
          </c:cat>
          <c:val>
            <c:numRef>
              <c:f>Main!$BE$122:$BF$122</c:f>
              <c:numCache>
                <c:formatCode>0.00</c:formatCode>
                <c:ptCount val="2"/>
                <c:pt idx="0">
                  <c:v>186.056695987773</c:v>
                </c:pt>
              </c:numCache>
            </c:numRef>
          </c:val>
        </c:ser>
        <c:gapWidth val="20"/>
        <c:overlap val="100"/>
        <c:axId val="87243929"/>
        <c:axId val="27803908"/>
      </c:barChart>
      <c:catAx>
        <c:axId val="87243929"/>
        <c:scaling>
          <c:orientation val="maxMin"/>
        </c:scaling>
        <c:delete val="1"/>
        <c:axPos val="b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27803908"/>
        <c:auto val="1"/>
        <c:lblAlgn val="ctr"/>
        <c:lblOffset val="100"/>
        <c:noMultiLvlLbl val="0"/>
      </c:catAx>
      <c:valAx>
        <c:axId val="27803908"/>
        <c:scaling>
          <c:orientation val="minMax"/>
          <c:max val="350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[$$-1009]#,##0;[RED]\-[$$-1009]#,##0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87243929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06226192039932"/>
          <c:y val="0.00473572478362637"/>
          <c:w val="0.65650860370419"/>
          <c:h val="0.87077459038702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Main!$A$141</c:f>
              <c:strCache>
                <c:ptCount val="1"/>
                <c:pt idx="0">
                  <c:v>RN Encounters</c:v>
                </c:pt>
              </c:strCache>
            </c:strRef>
          </c:tx>
          <c:spPr>
            <a:solidFill>
              <a:srgbClr val="158466">
                <a:alpha val="9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158466">
                  <a:alpha val="9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Main!$D$141:$AW$141</c:f>
              <c:numCache>
                <c:formatCode>#,##0.00</c:formatCode>
                <c:ptCount val="43"/>
                <c:pt idx="0">
                  <c:v>0.919054661983115</c:v>
                </c:pt>
                <c:pt idx="1">
                  <c:v>1.01822747140333</c:v>
                </c:pt>
                <c:pt idx="2">
                  <c:v>1.09043814206691</c:v>
                </c:pt>
                <c:pt idx="3">
                  <c:v>0.846164684664375</c:v>
                </c:pt>
                <c:pt idx="4">
                  <c:v>0.752872555039032</c:v>
                </c:pt>
                <c:pt idx="5">
                  <c:v>0.894587057834823</c:v>
                </c:pt>
                <c:pt idx="6">
                  <c:v>0.812787452336963</c:v>
                </c:pt>
                <c:pt idx="7">
                  <c:v>1.05086496256132</c:v>
                </c:pt>
                <c:pt idx="8">
                  <c:v>0.921745969327566</c:v>
                </c:pt>
                <c:pt idx="9">
                  <c:v>0.712440516655337</c:v>
                </c:pt>
                <c:pt idx="11">
                  <c:v>0.408446636987126</c:v>
                </c:pt>
                <c:pt idx="12">
                  <c:v>0.806609914872309</c:v>
                </c:pt>
                <c:pt idx="13">
                  <c:v>0.841741493383743</c:v>
                </c:pt>
                <c:pt idx="14">
                  <c:v>0.635677276091784</c:v>
                </c:pt>
                <c:pt idx="15">
                  <c:v>0.771871234291616</c:v>
                </c:pt>
                <c:pt idx="16">
                  <c:v>0.573356126747665</c:v>
                </c:pt>
                <c:pt idx="17">
                  <c:v>0.777537077153808</c:v>
                </c:pt>
                <c:pt idx="18">
                  <c:v>0.958518930957684</c:v>
                </c:pt>
                <c:pt idx="19">
                  <c:v>0.681628433984018</c:v>
                </c:pt>
                <c:pt idx="20">
                  <c:v>0.983480352846832</c:v>
                </c:pt>
                <c:pt idx="22">
                  <c:v>0.0109854074438433</c:v>
                </c:pt>
                <c:pt idx="23">
                  <c:v>0.307181495989554</c:v>
                </c:pt>
                <c:pt idx="25">
                  <c:v>0.685904593231433</c:v>
                </c:pt>
                <c:pt idx="26">
                  <c:v>1.50666994025698</c:v>
                </c:pt>
                <c:pt idx="27">
                  <c:v>0.908143381519917</c:v>
                </c:pt>
                <c:pt idx="28">
                  <c:v>1.78218839983546</c:v>
                </c:pt>
                <c:pt idx="29">
                  <c:v>2.14843065796536</c:v>
                </c:pt>
                <c:pt idx="30">
                  <c:v>1.86765554182118</c:v>
                </c:pt>
                <c:pt idx="31">
                  <c:v>1.90842053895787</c:v>
                </c:pt>
                <c:pt idx="33">
                  <c:v>0.767565785859474</c:v>
                </c:pt>
                <c:pt idx="34">
                  <c:v>0.302614136486558</c:v>
                </c:pt>
                <c:pt idx="35">
                  <c:v>0.541018959475245</c:v>
                </c:pt>
                <c:pt idx="36">
                  <c:v>0.45071765447023</c:v>
                </c:pt>
                <c:pt idx="37">
                  <c:v>0.667983730389309</c:v>
                </c:pt>
                <c:pt idx="38">
                  <c:v>0.660393921106051</c:v>
                </c:pt>
                <c:pt idx="39">
                  <c:v>0.413573315719947</c:v>
                </c:pt>
                <c:pt idx="40">
                  <c:v>0.456724738675958</c:v>
                </c:pt>
                <c:pt idx="41">
                  <c:v>0.248835297341737</c:v>
                </c:pt>
                <c:pt idx="42">
                  <c:v>0.462771739130435</c:v>
                </c:pt>
              </c:numCache>
            </c:numRef>
          </c:val>
        </c:ser>
        <c:ser>
          <c:idx val="1"/>
          <c:order val="1"/>
          <c:tx>
            <c:strRef>
              <c:f>Main!$A$142</c:f>
              <c:strCache>
                <c:ptCount val="1"/>
                <c:pt idx="0">
                  <c:v>LPN Encounters</c:v>
                </c:pt>
              </c:strCache>
            </c:strRef>
          </c:tx>
          <c:spPr>
            <a:solidFill>
              <a:srgbClr val="158466">
                <a:alpha val="85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Main!$D$142:$AW$142</c:f>
              <c:numCache>
                <c:formatCode>#,##0.00</c:formatCode>
                <c:ptCount val="43"/>
                <c:pt idx="0">
                  <c:v>0.106119430578665</c:v>
                </c:pt>
                <c:pt idx="1">
                  <c:v>0</c:v>
                </c:pt>
                <c:pt idx="2">
                  <c:v>0.109579418737378</c:v>
                </c:pt>
                <c:pt idx="3">
                  <c:v>0.282280335907118</c:v>
                </c:pt>
                <c:pt idx="4">
                  <c:v>0.164678536970441</c:v>
                </c:pt>
                <c:pt idx="5">
                  <c:v>0.269539307815723</c:v>
                </c:pt>
                <c:pt idx="6">
                  <c:v>0.103856283658949</c:v>
                </c:pt>
                <c:pt idx="7">
                  <c:v>0</c:v>
                </c:pt>
                <c:pt idx="8">
                  <c:v>0.249180757635339</c:v>
                </c:pt>
                <c:pt idx="9">
                  <c:v>0.345720975904525</c:v>
                </c:pt>
                <c:pt idx="11">
                  <c:v>0.039201058837685</c:v>
                </c:pt>
                <c:pt idx="12">
                  <c:v>0.0181772658988483</c:v>
                </c:pt>
                <c:pt idx="13">
                  <c:v>0.0396778512917454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0.054691259021652</c:v>
                </c:pt>
                <c:pt idx="22">
                  <c:v>0.0214789309722905</c:v>
                </c:pt>
                <c:pt idx="23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0.566184800833824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</c:ser>
        <c:gapWidth val="20"/>
        <c:overlap val="100"/>
        <c:axId val="66934070"/>
        <c:axId val="72124782"/>
      </c:barChart>
      <c:catAx>
        <c:axId val="6693407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72124782"/>
        <c:crosses val="autoZero"/>
        <c:auto val="1"/>
        <c:lblAlgn val="ctr"/>
        <c:lblOffset val="100"/>
        <c:noMultiLvlLbl val="0"/>
      </c:catAx>
      <c:valAx>
        <c:axId val="72124782"/>
        <c:scaling>
          <c:orientation val="minMax"/>
          <c:max val="2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#,##0.00" sourceLinked="0"/>
        <c:majorTickMark val="out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 Narrow"/>
                <a:ea typeface="DejaVu Sans"/>
              </a:defRPr>
            </a:pPr>
          </a:p>
        </c:txPr>
        <c:crossAx val="66934070"/>
        <c:crosses val="autoZero"/>
        <c:crossBetween val="midCat"/>
        <c:majorUnit val="0.5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656063618290259"/>
          <c:y val="0.0199089562880491"/>
          <c:w val="0.552021206096753"/>
          <c:h val="0.8773652169143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Main!$A$143</c:f>
              <c:strCache>
                <c:ptCount val="1"/>
                <c:pt idx="0">
                  <c:v>Other Encounters</c:v>
                </c:pt>
              </c:strCache>
            </c:strRef>
          </c:tx>
          <c:spPr>
            <a:solidFill>
              <a:srgbClr val="8E86AE">
                <a:alpha val="9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Main!$D$143:$AW$143</c:f>
              <c:numCache>
                <c:formatCode>#,##0.00</c:formatCode>
                <c:ptCount val="43"/>
                <c:pt idx="0">
                  <c:v>0.0473285265298577</c:v>
                </c:pt>
                <c:pt idx="1">
                  <c:v>0.171766018785455</c:v>
                </c:pt>
                <c:pt idx="2">
                  <c:v>0.00724383176749495</c:v>
                </c:pt>
                <c:pt idx="3">
                  <c:v>0.0279828664825565</c:v>
                </c:pt>
                <c:pt idx="4">
                  <c:v>0.0771862117358127</c:v>
                </c:pt>
                <c:pt idx="5">
                  <c:v>0.0456108182443273</c:v>
                </c:pt>
                <c:pt idx="6">
                  <c:v>0.0326074138134361</c:v>
                </c:pt>
                <c:pt idx="7">
                  <c:v>0</c:v>
                </c:pt>
                <c:pt idx="8">
                  <c:v>0</c:v>
                </c:pt>
                <c:pt idx="9">
                  <c:v>0.0470579348893421</c:v>
                </c:pt>
                <c:pt idx="11">
                  <c:v>0.0920466851161112</c:v>
                </c:pt>
                <c:pt idx="12">
                  <c:v>0.117976965448172</c:v>
                </c:pt>
                <c:pt idx="13">
                  <c:v>0.202898550724638</c:v>
                </c:pt>
                <c:pt idx="14">
                  <c:v>0.373056994818653</c:v>
                </c:pt>
                <c:pt idx="15">
                  <c:v>0.195627474608366</c:v>
                </c:pt>
                <c:pt idx="16">
                  <c:v>0.209475547957751</c:v>
                </c:pt>
                <c:pt idx="17">
                  <c:v>0.237071599177915</c:v>
                </c:pt>
                <c:pt idx="18">
                  <c:v>0.000742390497401633</c:v>
                </c:pt>
                <c:pt idx="19">
                  <c:v>0.116407585576273</c:v>
                </c:pt>
                <c:pt idx="20">
                  <c:v>0.0396150761828388</c:v>
                </c:pt>
                <c:pt idx="22">
                  <c:v>0.102311854402361</c:v>
                </c:pt>
                <c:pt idx="23">
                  <c:v>0</c:v>
                </c:pt>
                <c:pt idx="25">
                  <c:v>0</c:v>
                </c:pt>
                <c:pt idx="26">
                  <c:v>0.019887061134299</c:v>
                </c:pt>
                <c:pt idx="27">
                  <c:v>0.107536139937463</c:v>
                </c:pt>
                <c:pt idx="28">
                  <c:v>0.0718634306869601</c:v>
                </c:pt>
                <c:pt idx="29">
                  <c:v>0.074300081927847</c:v>
                </c:pt>
                <c:pt idx="30">
                  <c:v>0.0238978162340338</c:v>
                </c:pt>
                <c:pt idx="31">
                  <c:v>0.0538415659057637</c:v>
                </c:pt>
                <c:pt idx="33">
                  <c:v>0.0793275833653793</c:v>
                </c:pt>
                <c:pt idx="34">
                  <c:v>0.17678561959807</c:v>
                </c:pt>
                <c:pt idx="35">
                  <c:v>0.0290232725312247</c:v>
                </c:pt>
                <c:pt idx="36">
                  <c:v>0.0577188292782592</c:v>
                </c:pt>
                <c:pt idx="37">
                  <c:v>0.0781522370714701</c:v>
                </c:pt>
                <c:pt idx="38">
                  <c:v>0.12772260931585</c:v>
                </c:pt>
                <c:pt idx="39">
                  <c:v>0.077443857331572</c:v>
                </c:pt>
                <c:pt idx="40">
                  <c:v>0.0949825783972125</c:v>
                </c:pt>
                <c:pt idx="41">
                  <c:v>0</c:v>
                </c:pt>
                <c:pt idx="42">
                  <c:v>0.0078804347826087</c:v>
                </c:pt>
              </c:numCache>
            </c:numRef>
          </c:val>
        </c:ser>
        <c:gapWidth val="20"/>
        <c:overlap val="0"/>
        <c:axId val="64477108"/>
        <c:axId val="48085319"/>
      </c:barChart>
      <c:catAx>
        <c:axId val="6447710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48085319"/>
        <c:crosses val="autoZero"/>
        <c:auto val="1"/>
        <c:lblAlgn val="ctr"/>
        <c:lblOffset val="100"/>
        <c:noMultiLvlLbl val="0"/>
      </c:catAx>
      <c:valAx>
        <c:axId val="48085319"/>
        <c:scaling>
          <c:orientation val="minMax"/>
          <c:max val="2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#,##0.00" sourceLinked="0"/>
        <c:majorTickMark val="out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 Narrow"/>
                <a:ea typeface="DejaVu Sans"/>
              </a:defRPr>
            </a:pPr>
          </a:p>
        </c:txPr>
        <c:crossAx val="64477108"/>
        <c:crosses val="autoZero"/>
        <c:crossBetween val="midCat"/>
        <c:majorUnit val="0.5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67274692609107"/>
          <c:y val="0.447730749617542"/>
          <c:w val="0.675314146736928"/>
          <c:h val="0.381438041815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Main!$A$28</c:f>
              <c:strCache>
                <c:ptCount val="1"/>
                <c:pt idx="0">
                  <c:v>Family Physician </c:v>
                </c:pt>
              </c:strCache>
            </c:strRef>
          </c:tx>
          <c:spPr>
            <a:solidFill>
              <a:srgbClr val="2A6099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2A6099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Main!$BE$5</c:f>
              <c:strCache>
                <c:ptCount val="1"/>
                <c:pt idx="0">
                  <c:v>BC</c:v>
                </c:pt>
              </c:strCache>
            </c:strRef>
          </c:cat>
          <c:val>
            <c:numRef>
              <c:f>Main!$BE$28</c:f>
              <c:numCache>
                <c:formatCode>#,##0</c:formatCode>
                <c:ptCount val="1"/>
                <c:pt idx="0">
                  <c:v>426329</c:v>
                </c:pt>
              </c:numCache>
            </c:numRef>
          </c:val>
        </c:ser>
        <c:ser>
          <c:idx val="1"/>
          <c:order val="1"/>
          <c:tx>
            <c:strRef>
              <c:f>Main!$A$29</c:f>
              <c:strCache>
                <c:ptCount val="1"/>
                <c:pt idx="0">
                  <c:v>Nurse Practitioner</c:v>
                </c:pt>
              </c:strCache>
            </c:strRef>
          </c:tx>
          <c:spPr>
            <a:solidFill>
              <a:srgbClr val="2A6099">
                <a:alpha val="85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Main!$BE$5</c:f>
              <c:strCache>
                <c:ptCount val="1"/>
                <c:pt idx="0">
                  <c:v>BC</c:v>
                </c:pt>
              </c:strCache>
            </c:strRef>
          </c:cat>
          <c:val>
            <c:numRef>
              <c:f>Main!$BE$29</c:f>
              <c:numCache>
                <c:formatCode>#,##0</c:formatCode>
                <c:ptCount val="1"/>
                <c:pt idx="0">
                  <c:v>160445</c:v>
                </c:pt>
              </c:numCache>
            </c:numRef>
          </c:val>
        </c:ser>
        <c:ser>
          <c:idx val="2"/>
          <c:order val="2"/>
          <c:tx>
            <c:strRef>
              <c:f>Main!$A$30</c:f>
              <c:strCache>
                <c:ptCount val="1"/>
                <c:pt idx="0">
                  <c:v>Registered Nurse</c:v>
                </c:pt>
              </c:strCache>
            </c:strRef>
          </c:tx>
          <c:spPr>
            <a:solidFill>
              <a:srgbClr val="158466">
                <a:alpha val="2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158466">
                  <a:alpha val="2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Main!$BE$5</c:f>
              <c:strCache>
                <c:ptCount val="1"/>
                <c:pt idx="0">
                  <c:v>BC</c:v>
                </c:pt>
              </c:strCache>
            </c:strRef>
          </c:cat>
          <c:val>
            <c:numRef>
              <c:f>Main!$BE$30</c:f>
              <c:numCache>
                <c:formatCode>#,##0</c:formatCode>
                <c:ptCount val="1"/>
                <c:pt idx="0">
                  <c:v>775885</c:v>
                </c:pt>
              </c:numCache>
            </c:numRef>
          </c:val>
        </c:ser>
        <c:ser>
          <c:idx val="3"/>
          <c:order val="3"/>
          <c:tx>
            <c:strRef>
              <c:f>Main!$A$31</c:f>
              <c:strCache>
                <c:ptCount val="1"/>
                <c:pt idx="0">
                  <c:v>Licensed Practical Nurse</c:v>
                </c:pt>
              </c:strCache>
            </c:strRef>
          </c:tx>
          <c:spPr>
            <a:solidFill>
              <a:srgbClr val="158466">
                <a:alpha val="15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Main!$BE$5</c:f>
              <c:strCache>
                <c:ptCount val="1"/>
                <c:pt idx="0">
                  <c:v>BC</c:v>
                </c:pt>
              </c:strCache>
            </c:strRef>
          </c:cat>
          <c:val>
            <c:numRef>
              <c:f>Main!$BE$31</c:f>
              <c:numCache>
                <c:formatCode>#,##0</c:formatCode>
                <c:ptCount val="1"/>
                <c:pt idx="0">
                  <c:v>62559</c:v>
                </c:pt>
              </c:numCache>
            </c:numRef>
          </c:val>
        </c:ser>
        <c:ser>
          <c:idx val="4"/>
          <c:order val="4"/>
          <c:tx>
            <c:strRef>
              <c:f>Main!$A$32</c:f>
              <c:strCache>
                <c:ptCount val="1"/>
                <c:pt idx="0">
                  <c:v>Allied Health</c:v>
                </c:pt>
              </c:strCache>
            </c:strRef>
          </c:tx>
          <c:spPr>
            <a:solidFill>
              <a:srgbClr val="6B5E9B">
                <a:alpha val="2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6B5E9B">
                  <a:alpha val="2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Main!$BE$5</c:f>
              <c:strCache>
                <c:ptCount val="1"/>
                <c:pt idx="0">
                  <c:v>BC</c:v>
                </c:pt>
              </c:strCache>
            </c:strRef>
          </c:cat>
          <c:val>
            <c:numRef>
              <c:f>Main!$BE$32</c:f>
              <c:numCache>
                <c:formatCode>#,##0</c:formatCode>
                <c:ptCount val="1"/>
                <c:pt idx="0">
                  <c:v>72226</c:v>
                </c:pt>
              </c:numCache>
            </c:numRef>
          </c:val>
        </c:ser>
        <c:gapWidth val="20"/>
        <c:overlap val="100"/>
        <c:axId val="44238248"/>
        <c:axId val="17040843"/>
      </c:barChart>
      <c:catAx>
        <c:axId val="4423824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2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17040843"/>
        <c:crosses val="autoZero"/>
        <c:auto val="1"/>
        <c:lblAlgn val="ctr"/>
        <c:lblOffset val="100"/>
        <c:noMultiLvlLbl val="0"/>
      </c:catAx>
      <c:valAx>
        <c:axId val="17040843"/>
        <c:scaling>
          <c:orientation val="minMax"/>
        </c:scaling>
        <c:delete val="0"/>
        <c:axPos val="l"/>
        <c:numFmt formatCode="[$-1009]0%" sourceLinked="0"/>
        <c:majorTickMark val="out"/>
        <c:minorTickMark val="none"/>
        <c:tickLblPos val="low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 Narrow"/>
                <a:ea typeface="DejaVu Sans"/>
              </a:defRPr>
            </a:pPr>
          </a:p>
        </c:txPr>
        <c:crossAx val="44238248"/>
        <c:crosses val="autoZero"/>
        <c:crossBetween val="midCat"/>
        <c:majorUnit val="0.25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30059052282875"/>
          <c:y val="0.492014425553838"/>
          <c:w val="0.719861731240098"/>
          <c:h val="0.38536836682122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Main!$A$30</c:f>
              <c:strCache>
                <c:ptCount val="1"/>
                <c:pt idx="0">
                  <c:v>Registered Nurse</c:v>
                </c:pt>
              </c:strCache>
            </c:strRef>
          </c:tx>
          <c:spPr>
            <a:solidFill>
              <a:srgbClr val="1584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1584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Main!$BE$5</c:f>
              <c:strCache>
                <c:ptCount val="1"/>
                <c:pt idx="0">
                  <c:v>BC</c:v>
                </c:pt>
              </c:strCache>
            </c:strRef>
          </c:cat>
          <c:val>
            <c:numRef>
              <c:f>Main!$BE$30</c:f>
              <c:numCache>
                <c:formatCode>#,##0</c:formatCode>
                <c:ptCount val="1"/>
                <c:pt idx="0">
                  <c:v>775885</c:v>
                </c:pt>
              </c:numCache>
            </c:numRef>
          </c:val>
        </c:ser>
        <c:ser>
          <c:idx val="1"/>
          <c:order val="1"/>
          <c:tx>
            <c:strRef>
              <c:f>Main!$A$31</c:f>
              <c:strCache>
                <c:ptCount val="1"/>
                <c:pt idx="0">
                  <c:v>Licensed Practical Nurse</c:v>
                </c:pt>
              </c:strCache>
            </c:strRef>
          </c:tx>
          <c:spPr>
            <a:solidFill>
              <a:srgbClr val="158466">
                <a:alpha val="85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Main!$BE$5</c:f>
              <c:strCache>
                <c:ptCount val="1"/>
                <c:pt idx="0">
                  <c:v>BC</c:v>
                </c:pt>
              </c:strCache>
            </c:strRef>
          </c:cat>
          <c:val>
            <c:numRef>
              <c:f>Main!$BE$31</c:f>
              <c:numCache>
                <c:formatCode>#,##0</c:formatCode>
                <c:ptCount val="1"/>
                <c:pt idx="0">
                  <c:v>62559</c:v>
                </c:pt>
              </c:numCache>
            </c:numRef>
          </c:val>
        </c:ser>
        <c:ser>
          <c:idx val="2"/>
          <c:order val="2"/>
          <c:tx>
            <c:strRef>
              <c:f>Main!$A$28</c:f>
              <c:strCache>
                <c:ptCount val="1"/>
                <c:pt idx="0">
                  <c:v>Family Physician </c:v>
                </c:pt>
              </c:strCache>
            </c:strRef>
          </c:tx>
          <c:spPr>
            <a:solidFill>
              <a:srgbClr val="2A6099">
                <a:alpha val="2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2A6099">
                  <a:alpha val="2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Main!$BE$5</c:f>
              <c:strCache>
                <c:ptCount val="1"/>
                <c:pt idx="0">
                  <c:v>BC</c:v>
                </c:pt>
              </c:strCache>
            </c:strRef>
          </c:cat>
          <c:val>
            <c:numRef>
              <c:f>Main!$BE$28</c:f>
              <c:numCache>
                <c:formatCode>#,##0</c:formatCode>
                <c:ptCount val="1"/>
                <c:pt idx="0">
                  <c:v>426329</c:v>
                </c:pt>
              </c:numCache>
            </c:numRef>
          </c:val>
        </c:ser>
        <c:ser>
          <c:idx val="3"/>
          <c:order val="3"/>
          <c:tx>
            <c:strRef>
              <c:f>Main!$A$29</c:f>
              <c:strCache>
                <c:ptCount val="1"/>
                <c:pt idx="0">
                  <c:v>Nurse Practitioner</c:v>
                </c:pt>
              </c:strCache>
            </c:strRef>
          </c:tx>
          <c:spPr>
            <a:solidFill>
              <a:srgbClr val="2A6099">
                <a:alpha val="15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Main!$BE$5</c:f>
              <c:strCache>
                <c:ptCount val="1"/>
                <c:pt idx="0">
                  <c:v>BC</c:v>
                </c:pt>
              </c:strCache>
            </c:strRef>
          </c:cat>
          <c:val>
            <c:numRef>
              <c:f>Main!$BE$29</c:f>
              <c:numCache>
                <c:formatCode>#,##0</c:formatCode>
                <c:ptCount val="1"/>
                <c:pt idx="0">
                  <c:v>160445</c:v>
                </c:pt>
              </c:numCache>
            </c:numRef>
          </c:val>
        </c:ser>
        <c:ser>
          <c:idx val="4"/>
          <c:order val="4"/>
          <c:tx>
            <c:strRef>
              <c:f>Main!$A$32</c:f>
              <c:strCache>
                <c:ptCount val="1"/>
                <c:pt idx="0">
                  <c:v>Allied Health</c:v>
                </c:pt>
              </c:strCache>
            </c:strRef>
          </c:tx>
          <c:spPr>
            <a:solidFill>
              <a:srgbClr val="6B5E9B">
                <a:alpha val="2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Main!$BE$5</c:f>
              <c:strCache>
                <c:ptCount val="1"/>
                <c:pt idx="0">
                  <c:v>BC</c:v>
                </c:pt>
              </c:strCache>
            </c:strRef>
          </c:cat>
          <c:val>
            <c:numRef>
              <c:f>Main!$BE$32</c:f>
              <c:numCache>
                <c:formatCode>#,##0</c:formatCode>
                <c:ptCount val="1"/>
                <c:pt idx="0">
                  <c:v>72226</c:v>
                </c:pt>
              </c:numCache>
            </c:numRef>
          </c:val>
        </c:ser>
        <c:gapWidth val="20"/>
        <c:overlap val="100"/>
        <c:axId val="99390175"/>
        <c:axId val="99555764"/>
      </c:barChart>
      <c:catAx>
        <c:axId val="99390175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2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99555764"/>
        <c:crosses val="autoZero"/>
        <c:auto val="1"/>
        <c:lblAlgn val="ctr"/>
        <c:lblOffset val="100"/>
        <c:noMultiLvlLbl val="0"/>
      </c:catAx>
      <c:valAx>
        <c:axId val="99555764"/>
        <c:scaling>
          <c:orientation val="minMax"/>
        </c:scaling>
        <c:delete val="0"/>
        <c:axPos val="l"/>
        <c:numFmt formatCode="[$-1009]0%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 Narrow"/>
                <a:ea typeface="DejaVu Sans"/>
              </a:defRPr>
            </a:pPr>
          </a:p>
        </c:txPr>
        <c:crossAx val="99390175"/>
        <c:crosses val="autoZero"/>
        <c:crossBetween val="midCat"/>
        <c:majorUnit val="0.25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50517622426428"/>
          <c:y val="0.469155002592017"/>
          <c:w val="0.581365592648598"/>
          <c:h val="0.3877656817003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Main!$A$32</c:f>
              <c:strCache>
                <c:ptCount val="1"/>
                <c:pt idx="0">
                  <c:v>Allied Health</c:v>
                </c:pt>
              </c:strCache>
            </c:strRef>
          </c:tx>
          <c:spPr>
            <a:solidFill>
              <a:srgbClr val="6B5E9B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Main!$BE$5</c:f>
              <c:strCache>
                <c:ptCount val="1"/>
                <c:pt idx="0">
                  <c:v>BC</c:v>
                </c:pt>
              </c:strCache>
            </c:strRef>
          </c:cat>
          <c:val>
            <c:numRef>
              <c:f>Main!$BE$32</c:f>
              <c:numCache>
                <c:formatCode>#,##0</c:formatCode>
                <c:ptCount val="1"/>
                <c:pt idx="0">
                  <c:v>72226</c:v>
                </c:pt>
              </c:numCache>
            </c:numRef>
          </c:val>
        </c:ser>
        <c:ser>
          <c:idx val="1"/>
          <c:order val="1"/>
          <c:tx>
            <c:strRef>
              <c:f>Main!$A$28</c:f>
              <c:strCache>
                <c:ptCount val="1"/>
                <c:pt idx="0">
                  <c:v>Family Physician </c:v>
                </c:pt>
              </c:strCache>
            </c:strRef>
          </c:tx>
          <c:spPr>
            <a:solidFill>
              <a:srgbClr val="2A6099">
                <a:alpha val="2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2A6099">
                  <a:alpha val="2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Main!$BE$5</c:f>
              <c:strCache>
                <c:ptCount val="1"/>
                <c:pt idx="0">
                  <c:v>BC</c:v>
                </c:pt>
              </c:strCache>
            </c:strRef>
          </c:cat>
          <c:val>
            <c:numRef>
              <c:f>Main!$BE$28</c:f>
              <c:numCache>
                <c:formatCode>#,##0</c:formatCode>
                <c:ptCount val="1"/>
                <c:pt idx="0">
                  <c:v>426329</c:v>
                </c:pt>
              </c:numCache>
            </c:numRef>
          </c:val>
        </c:ser>
        <c:ser>
          <c:idx val="2"/>
          <c:order val="2"/>
          <c:tx>
            <c:strRef>
              <c:f>Main!$A$29</c:f>
              <c:strCache>
                <c:ptCount val="1"/>
                <c:pt idx="0">
                  <c:v>Nurse Practitioner</c:v>
                </c:pt>
              </c:strCache>
            </c:strRef>
          </c:tx>
          <c:spPr>
            <a:solidFill>
              <a:srgbClr val="2A6099">
                <a:alpha val="15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Main!$BE$5</c:f>
              <c:strCache>
                <c:ptCount val="1"/>
                <c:pt idx="0">
                  <c:v>BC</c:v>
                </c:pt>
              </c:strCache>
            </c:strRef>
          </c:cat>
          <c:val>
            <c:numRef>
              <c:f>Main!$BE$29</c:f>
              <c:numCache>
                <c:formatCode>#,##0</c:formatCode>
                <c:ptCount val="1"/>
                <c:pt idx="0">
                  <c:v>160445</c:v>
                </c:pt>
              </c:numCache>
            </c:numRef>
          </c:val>
        </c:ser>
        <c:ser>
          <c:idx val="3"/>
          <c:order val="3"/>
          <c:tx>
            <c:strRef>
              <c:f>Main!$A$30</c:f>
              <c:strCache>
                <c:ptCount val="1"/>
                <c:pt idx="0">
                  <c:v>Registered Nurse</c:v>
                </c:pt>
              </c:strCache>
            </c:strRef>
          </c:tx>
          <c:spPr>
            <a:solidFill>
              <a:srgbClr val="158466">
                <a:alpha val="2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158466">
                  <a:alpha val="2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Main!$BE$5</c:f>
              <c:strCache>
                <c:ptCount val="1"/>
                <c:pt idx="0">
                  <c:v>BC</c:v>
                </c:pt>
              </c:strCache>
            </c:strRef>
          </c:cat>
          <c:val>
            <c:numRef>
              <c:f>Main!$BE$30</c:f>
              <c:numCache>
                <c:formatCode>#,##0</c:formatCode>
                <c:ptCount val="1"/>
                <c:pt idx="0">
                  <c:v>775885</c:v>
                </c:pt>
              </c:numCache>
            </c:numRef>
          </c:val>
        </c:ser>
        <c:ser>
          <c:idx val="4"/>
          <c:order val="4"/>
          <c:tx>
            <c:strRef>
              <c:f>Main!$A$31</c:f>
              <c:strCache>
                <c:ptCount val="1"/>
                <c:pt idx="0">
                  <c:v>Licensed Practical Nurse</c:v>
                </c:pt>
              </c:strCache>
            </c:strRef>
          </c:tx>
          <c:spPr>
            <a:solidFill>
              <a:srgbClr val="158466">
                <a:alpha val="15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Main!$BE$5</c:f>
              <c:strCache>
                <c:ptCount val="1"/>
                <c:pt idx="0">
                  <c:v>BC</c:v>
                </c:pt>
              </c:strCache>
            </c:strRef>
          </c:cat>
          <c:val>
            <c:numRef>
              <c:f>Main!$BE$31</c:f>
              <c:numCache>
                <c:formatCode>#,##0</c:formatCode>
                <c:ptCount val="1"/>
                <c:pt idx="0">
                  <c:v>62559</c:v>
                </c:pt>
              </c:numCache>
            </c:numRef>
          </c:val>
        </c:ser>
        <c:gapWidth val="20"/>
        <c:overlap val="100"/>
        <c:axId val="12805824"/>
        <c:axId val="49373507"/>
      </c:barChart>
      <c:catAx>
        <c:axId val="1280582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2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49373507"/>
        <c:crosses val="autoZero"/>
        <c:auto val="1"/>
        <c:lblAlgn val="ctr"/>
        <c:lblOffset val="100"/>
        <c:noMultiLvlLbl val="0"/>
      </c:catAx>
      <c:valAx>
        <c:axId val="49373507"/>
        <c:scaling>
          <c:orientation val="minMax"/>
        </c:scaling>
        <c:delete val="0"/>
        <c:axPos val="l"/>
        <c:numFmt formatCode="[$-1009]0%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 Narrow"/>
                <a:ea typeface="DejaVu Sans"/>
              </a:defRPr>
            </a:pPr>
          </a:p>
        </c:txPr>
        <c:crossAx val="12805824"/>
        <c:crosses val="autoZero"/>
        <c:crossBetween val="midCat"/>
        <c:majorUnit val="0.25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0694444444444"/>
          <c:y val="0.336183443451224"/>
          <c:w val="0.694166666666667"/>
          <c:h val="0.5818111154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Main!$A$136</c:f>
              <c:strCache>
                <c:ptCount val="1"/>
                <c:pt idx="0">
                  <c:v>FP encounters</c:v>
                </c:pt>
              </c:strCache>
            </c:strRef>
          </c:tx>
          <c:spPr>
            <a:solidFill>
              <a:srgbClr val="2A6099">
                <a:alpha val="9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Main!$BE$227</c:f>
              <c:strCache>
                <c:ptCount val="1"/>
                <c:pt idx="0">
                  <c:v/>
                </c:pt>
              </c:strCache>
            </c:strRef>
          </c:cat>
          <c:val>
            <c:numRef>
              <c:f>Main!$BE$136:$BF$136</c:f>
              <c:numCache>
                <c:formatCode>#,##0.00</c:formatCode>
                <c:ptCount val="2"/>
                <c:pt idx="0">
                  <c:v>0.474580025803464</c:v>
                </c:pt>
              </c:numCache>
            </c:numRef>
          </c:val>
        </c:ser>
        <c:ser>
          <c:idx val="1"/>
          <c:order val="1"/>
          <c:spPr>
            <a:solidFill>
              <a:srgbClr val="FF420E"/>
            </a:solidFill>
            <a:ln w="0">
              <a:noFill/>
            </a:ln>
          </c:spPr>
          <c:invertIfNegative val="0"/>
          <c:cat>
            <c:strRef>
              <c:f>Main!$BE$227</c:f>
              <c:strCache>
                <c:ptCount val="1"/>
                <c:pt idx="0">
                  <c:v/>
                </c:pt>
              </c:strCache>
            </c:strRef>
          </c:cat>
        </c:ser>
        <c:ser>
          <c:idx val="2"/>
          <c:order val="2"/>
          <c:tx>
            <c:strRef>
              <c:f>Main!$A$137</c:f>
              <c:strCache>
                <c:ptCount val="1"/>
                <c:pt idx="0">
                  <c:v>NP encounters</c:v>
                </c:pt>
              </c:strCache>
            </c:strRef>
          </c:tx>
          <c:spPr>
            <a:solidFill>
              <a:srgbClr val="2A6099">
                <a:alpha val="85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Main!$BE$227</c:f>
              <c:strCache>
                <c:ptCount val="1"/>
                <c:pt idx="0">
                  <c:v/>
                </c:pt>
              </c:strCache>
            </c:strRef>
          </c:cat>
          <c:val>
            <c:numRef>
              <c:f>Main!$BE$137:$BF$137</c:f>
              <c:numCache>
                <c:formatCode>#,##0.00</c:formatCode>
                <c:ptCount val="2"/>
                <c:pt idx="0">
                  <c:v>0.178603829999922</c:v>
                </c:pt>
              </c:numCache>
            </c:numRef>
          </c:val>
        </c:ser>
        <c:gapWidth val="20"/>
        <c:overlap val="100"/>
        <c:axId val="363234"/>
        <c:axId val="91011135"/>
      </c:barChart>
      <c:catAx>
        <c:axId val="36323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12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91011135"/>
        <c:crosses val="autoZero"/>
        <c:auto val="1"/>
        <c:lblAlgn val="ctr"/>
        <c:lblOffset val="100"/>
        <c:noMultiLvlLbl val="0"/>
      </c:catAx>
      <c:valAx>
        <c:axId val="91011135"/>
        <c:scaling>
          <c:orientation val="minMax"/>
          <c:max val="2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 Narrow"/>
                <a:ea typeface="DejaVu Sans"/>
              </a:defRPr>
            </a:pPr>
          </a:p>
        </c:txPr>
        <c:crossAx val="363234"/>
        <c:crosses val="autoZero"/>
        <c:crossBetween val="midCat"/>
        <c:majorUnit val="0.5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53931339977852"/>
          <c:y val="0.424123120973515"/>
          <c:w val="0.553488372093023"/>
          <c:h val="0.53614889047959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Main!$A$141</c:f>
              <c:strCache>
                <c:ptCount val="1"/>
                <c:pt idx="0">
                  <c:v>RN Encounters</c:v>
                </c:pt>
              </c:strCache>
            </c:strRef>
          </c:tx>
          <c:spPr>
            <a:solidFill>
              <a:srgbClr val="158466">
                <a:alpha val="9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158466">
                  <a:alpha val="9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Main!$BE$227</c:f>
              <c:strCache>
                <c:ptCount val="1"/>
                <c:pt idx="0">
                  <c:v/>
                </c:pt>
              </c:strCache>
            </c:strRef>
          </c:cat>
          <c:val>
            <c:numRef>
              <c:f>Main!$BE$141:$BF$141</c:f>
              <c:numCache>
                <c:formatCode>#,##0.00</c:formatCode>
                <c:ptCount val="2"/>
                <c:pt idx="0">
                  <c:v>0.863698043812456</c:v>
                </c:pt>
              </c:numCache>
            </c:numRef>
          </c:val>
        </c:ser>
        <c:ser>
          <c:idx val="1"/>
          <c:order val="1"/>
          <c:tx>
            <c:strRef>
              <c:f>Main!$A$142</c:f>
              <c:strCache>
                <c:ptCount val="1"/>
                <c:pt idx="0">
                  <c:v>LPN Encounters</c:v>
                </c:pt>
              </c:strCache>
            </c:strRef>
          </c:tx>
          <c:spPr>
            <a:solidFill>
              <a:srgbClr val="158466">
                <a:alpha val="85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Main!$BE$227</c:f>
              <c:strCache>
                <c:ptCount val="1"/>
                <c:pt idx="0">
                  <c:v/>
                </c:pt>
              </c:strCache>
            </c:strRef>
          </c:cat>
          <c:val>
            <c:numRef>
              <c:f>Main!$BE$142:$BF$142</c:f>
              <c:numCache>
                <c:formatCode>#,##0.00</c:formatCode>
                <c:ptCount val="2"/>
                <c:pt idx="0">
                  <c:v>0.0696392969613583</c:v>
                </c:pt>
              </c:numCache>
            </c:numRef>
          </c:val>
        </c:ser>
        <c:gapWidth val="20"/>
        <c:overlap val="100"/>
        <c:axId val="57151974"/>
        <c:axId val="96072970"/>
      </c:barChart>
      <c:catAx>
        <c:axId val="5715197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96072970"/>
        <c:crosses val="autoZero"/>
        <c:auto val="1"/>
        <c:lblAlgn val="ctr"/>
        <c:lblOffset val="100"/>
        <c:noMultiLvlLbl val="0"/>
      </c:catAx>
      <c:valAx>
        <c:axId val="96072970"/>
        <c:scaling>
          <c:orientation val="minMax"/>
          <c:max val="2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 Narrow"/>
                <a:ea typeface="DejaVu Sans"/>
              </a:defRPr>
            </a:pPr>
          </a:p>
        </c:txPr>
        <c:crossAx val="57151974"/>
        <c:crosses val="autoZero"/>
        <c:crossBetween val="midCat"/>
        <c:majorUnit val="0.5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260326609029779"/>
          <c:y val="0.0169908466819222"/>
          <c:w val="0.72006083893692"/>
          <c:h val="0.9149885583524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Main!$A$242</c:f>
              <c:strCache>
                <c:ptCount val="1"/>
                <c:pt idx="0">
                  <c:v>Family Physician </c:v>
                </c:pt>
              </c:strCache>
            </c:strRef>
          </c:tx>
          <c:spPr>
            <a:solidFill>
              <a:srgbClr val="2A6099">
                <a:alpha val="6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Main!$D$242:$AW$242</c:f>
              <c:numCache>
                <c:formatCode>[$$-1009]#,##0.00;[RED]\-[$$-1009]#,##0.00</c:formatCode>
                <c:ptCount val="43"/>
                <c:pt idx="0">
                  <c:v>34.62747550379</c:v>
                </c:pt>
                <c:pt idx="1">
                  <c:v>37.8647819213243</c:v>
                </c:pt>
                <c:pt idx="2">
                  <c:v>49.0474857318465</c:v>
                </c:pt>
                <c:pt idx="3">
                  <c:v>23.4165907681903</c:v>
                </c:pt>
                <c:pt idx="4">
                  <c:v>35.6419086045084</c:v>
                </c:pt>
                <c:pt idx="5">
                  <c:v>36.0853531591413</c:v>
                </c:pt>
                <c:pt idx="6">
                  <c:v>31.4565507685051</c:v>
                </c:pt>
                <c:pt idx="7">
                  <c:v>25.434735347276</c:v>
                </c:pt>
                <c:pt idx="8">
                  <c:v>18.5827880456154</c:v>
                </c:pt>
                <c:pt idx="9">
                  <c:v>5.52433869627615</c:v>
                </c:pt>
                <c:pt idx="11">
                  <c:v>47.1406740464445</c:v>
                </c:pt>
                <c:pt idx="12">
                  <c:v>27.3120826239359</c:v>
                </c:pt>
                <c:pt idx="13">
                  <c:v>49.385652173913</c:v>
                </c:pt>
                <c:pt idx="14">
                  <c:v>0</c:v>
                </c:pt>
                <c:pt idx="15">
                  <c:v>23.03925116199</c:v>
                </c:pt>
                <c:pt idx="16">
                  <c:v>42.6822400634959</c:v>
                </c:pt>
                <c:pt idx="17">
                  <c:v>21.0543348330834</c:v>
                </c:pt>
                <c:pt idx="18">
                  <c:v>110.737132516704</c:v>
                </c:pt>
                <c:pt idx="19">
                  <c:v>34.0670015505109</c:v>
                </c:pt>
                <c:pt idx="20">
                  <c:v>9.91713712910986</c:v>
                </c:pt>
                <c:pt idx="22">
                  <c:v>56.0806689621249</c:v>
                </c:pt>
                <c:pt idx="23">
                  <c:v>11.1989927252378</c:v>
                </c:pt>
                <c:pt idx="25">
                  <c:v>76.5173064336041</c:v>
                </c:pt>
                <c:pt idx="26">
                  <c:v>59.4346918733121</c:v>
                </c:pt>
                <c:pt idx="27">
                  <c:v>0</c:v>
                </c:pt>
                <c:pt idx="28">
                  <c:v>59.9522418757713</c:v>
                </c:pt>
                <c:pt idx="29">
                  <c:v>63.236149956211</c:v>
                </c:pt>
                <c:pt idx="30">
                  <c:v>51.5290482076638</c:v>
                </c:pt>
                <c:pt idx="31">
                  <c:v>74.616331399447</c:v>
                </c:pt>
                <c:pt idx="33">
                  <c:v>72.5305493599956</c:v>
                </c:pt>
                <c:pt idx="34">
                  <c:v>3.71175566042738</c:v>
                </c:pt>
                <c:pt idx="35">
                  <c:v>88.0455319435709</c:v>
                </c:pt>
                <c:pt idx="36">
                  <c:v>83.0032358299423</c:v>
                </c:pt>
                <c:pt idx="37">
                  <c:v>69.9242184776293</c:v>
                </c:pt>
                <c:pt idx="38">
                  <c:v>47.8367899270313</c:v>
                </c:pt>
                <c:pt idx="39">
                  <c:v>69.8642116908851</c:v>
                </c:pt>
                <c:pt idx="40">
                  <c:v>0</c:v>
                </c:pt>
                <c:pt idx="41">
                  <c:v>65.867870649493</c:v>
                </c:pt>
                <c:pt idx="42">
                  <c:v>22.2039945652174</c:v>
                </c:pt>
              </c:numCache>
            </c:numRef>
          </c:val>
        </c:ser>
        <c:ser>
          <c:idx val="1"/>
          <c:order val="1"/>
          <c:tx>
            <c:strRef>
              <c:f>Main!$A$243</c:f>
              <c:strCache>
                <c:ptCount val="1"/>
                <c:pt idx="0">
                  <c:v>Nurse Practitioner</c:v>
                </c:pt>
              </c:strCache>
            </c:strRef>
          </c:tx>
          <c:spPr>
            <a:solidFill>
              <a:srgbClr val="2A6099">
                <a:alpha val="5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Main!$D$243:$AW$243</c:f>
              <c:numCache>
                <c:formatCode>[$$-1009]#,##0.00;[RED]\-[$$-1009]#,##0.00</c:formatCode>
                <c:ptCount val="43"/>
                <c:pt idx="0">
                  <c:v>19.3824074074074</c:v>
                </c:pt>
                <c:pt idx="1">
                  <c:v>0</c:v>
                </c:pt>
                <c:pt idx="2">
                  <c:v>0</c:v>
                </c:pt>
                <c:pt idx="3">
                  <c:v>25.4317919742997</c:v>
                </c:pt>
                <c:pt idx="4">
                  <c:v>36.7654609244803</c:v>
                </c:pt>
                <c:pt idx="5">
                  <c:v>16.3370964168386</c:v>
                </c:pt>
                <c:pt idx="6">
                  <c:v>12.3312152600338</c:v>
                </c:pt>
                <c:pt idx="7">
                  <c:v>0</c:v>
                </c:pt>
                <c:pt idx="8">
                  <c:v>14.0147476733517</c:v>
                </c:pt>
                <c:pt idx="9">
                  <c:v>18.2416738424352</c:v>
                </c:pt>
                <c:pt idx="11">
                  <c:v>1.160416797016</c:v>
                </c:pt>
                <c:pt idx="12">
                  <c:v>19.252169754632</c:v>
                </c:pt>
                <c:pt idx="13">
                  <c:v>7.92686160995589</c:v>
                </c:pt>
                <c:pt idx="14">
                  <c:v>10.5125995558845</c:v>
                </c:pt>
                <c:pt idx="15">
                  <c:v>17.4529839903598</c:v>
                </c:pt>
                <c:pt idx="16">
                  <c:v>19.3536638378411</c:v>
                </c:pt>
                <c:pt idx="17">
                  <c:v>20.322751763595</c:v>
                </c:pt>
                <c:pt idx="18">
                  <c:v>0</c:v>
                </c:pt>
                <c:pt idx="19">
                  <c:v>35.3903900131197</c:v>
                </c:pt>
                <c:pt idx="20">
                  <c:v>22.3690874097835</c:v>
                </c:pt>
                <c:pt idx="22">
                  <c:v>40.8043941629775</c:v>
                </c:pt>
                <c:pt idx="23">
                  <c:v>0</c:v>
                </c:pt>
                <c:pt idx="25">
                  <c:v>33.2459477149347</c:v>
                </c:pt>
                <c:pt idx="26">
                  <c:v>41.0538914804812</c:v>
                </c:pt>
                <c:pt idx="27">
                  <c:v>0</c:v>
                </c:pt>
                <c:pt idx="28">
                  <c:v>32.651871657754</c:v>
                </c:pt>
                <c:pt idx="29">
                  <c:v>29.4653501709184</c:v>
                </c:pt>
                <c:pt idx="30">
                  <c:v>40.1230325504738</c:v>
                </c:pt>
                <c:pt idx="31">
                  <c:v>31.5030092718104</c:v>
                </c:pt>
                <c:pt idx="33">
                  <c:v>9.78772729769818</c:v>
                </c:pt>
                <c:pt idx="34">
                  <c:v>3.92302561111406</c:v>
                </c:pt>
                <c:pt idx="35">
                  <c:v>0</c:v>
                </c:pt>
                <c:pt idx="36">
                  <c:v>0</c:v>
                </c:pt>
                <c:pt idx="37">
                  <c:v>9.14645845438698</c:v>
                </c:pt>
                <c:pt idx="38">
                  <c:v>4.4765496241839</c:v>
                </c:pt>
                <c:pt idx="39">
                  <c:v>25.4105815719947</c:v>
                </c:pt>
                <c:pt idx="40">
                  <c:v>0</c:v>
                </c:pt>
                <c:pt idx="41">
                  <c:v>0</c:v>
                </c:pt>
                <c:pt idx="42">
                  <c:v>26.5702798913044</c:v>
                </c:pt>
              </c:numCache>
            </c:numRef>
          </c:val>
        </c:ser>
        <c:ser>
          <c:idx val="2"/>
          <c:order val="2"/>
          <c:tx>
            <c:strRef>
              <c:f>Main!$A$239</c:f>
              <c:strCache>
                <c:ptCount val="1"/>
                <c:pt idx="0">
                  <c:v>Nursing</c:v>
                </c:pt>
              </c:strCache>
            </c:strRef>
          </c:tx>
          <c:spPr>
            <a:solidFill>
              <a:srgbClr val="158466">
                <a:alpha val="5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Main!$D$239:$AW$239</c:f>
              <c:numCache>
                <c:formatCode>[$$-1009]#,##0.00;[RED]\-[$$-1009]#,##0.00</c:formatCode>
                <c:ptCount val="43"/>
                <c:pt idx="0">
                  <c:v>51.325600542306</c:v>
                </c:pt>
                <c:pt idx="1">
                  <c:v>81.4496745094392</c:v>
                </c:pt>
                <c:pt idx="2">
                  <c:v>60.0475946088331</c:v>
                </c:pt>
                <c:pt idx="3">
                  <c:v>32.0318717240602</c:v>
                </c:pt>
                <c:pt idx="4">
                  <c:v>53.5828273835628</c:v>
                </c:pt>
                <c:pt idx="5">
                  <c:v>25.3771414928566</c:v>
                </c:pt>
                <c:pt idx="6">
                  <c:v>36.8019468139471</c:v>
                </c:pt>
                <c:pt idx="7">
                  <c:v>63.3989904466822</c:v>
                </c:pt>
                <c:pt idx="8">
                  <c:v>101.755418796697</c:v>
                </c:pt>
                <c:pt idx="9">
                  <c:v>118.577357051137</c:v>
                </c:pt>
                <c:pt idx="11">
                  <c:v>23.701754542173</c:v>
                </c:pt>
                <c:pt idx="12">
                  <c:v>83.0035418127191</c:v>
                </c:pt>
                <c:pt idx="13">
                  <c:v>38.1019323015123</c:v>
                </c:pt>
                <c:pt idx="14">
                  <c:v>106.693872686899</c:v>
                </c:pt>
                <c:pt idx="15">
                  <c:v>49.1158223446376</c:v>
                </c:pt>
                <c:pt idx="16">
                  <c:v>52.6217131693022</c:v>
                </c:pt>
                <c:pt idx="17">
                  <c:v>85.1343215019719</c:v>
                </c:pt>
                <c:pt idx="18">
                  <c:v>110.969240905716</c:v>
                </c:pt>
                <c:pt idx="19">
                  <c:v>80.847539060947</c:v>
                </c:pt>
                <c:pt idx="20">
                  <c:v>116.686344827586</c:v>
                </c:pt>
                <c:pt idx="22">
                  <c:v>28.7675028693228</c:v>
                </c:pt>
                <c:pt idx="23">
                  <c:v>24.4792762544301</c:v>
                </c:pt>
                <c:pt idx="25">
                  <c:v>78.1148500365764</c:v>
                </c:pt>
                <c:pt idx="26">
                  <c:v>59.7119240527048</c:v>
                </c:pt>
                <c:pt idx="27">
                  <c:v>0</c:v>
                </c:pt>
                <c:pt idx="28">
                  <c:v>70.1204442616207</c:v>
                </c:pt>
                <c:pt idx="29">
                  <c:v>72.1901291069865</c:v>
                </c:pt>
                <c:pt idx="30">
                  <c:v>68.9919241862382</c:v>
                </c:pt>
                <c:pt idx="31">
                  <c:v>118.475844493846</c:v>
                </c:pt>
                <c:pt idx="33">
                  <c:v>58.3055540295556</c:v>
                </c:pt>
                <c:pt idx="34">
                  <c:v>3.78779362638528</c:v>
                </c:pt>
                <c:pt idx="35">
                  <c:v>56.1416569323389</c:v>
                </c:pt>
                <c:pt idx="36">
                  <c:v>39.3675105988116</c:v>
                </c:pt>
                <c:pt idx="37">
                  <c:v>75.4194654270773</c:v>
                </c:pt>
                <c:pt idx="38">
                  <c:v>72.7974433532671</c:v>
                </c:pt>
                <c:pt idx="39">
                  <c:v>54.0962681638045</c:v>
                </c:pt>
                <c:pt idx="40">
                  <c:v>50.4454355400697</c:v>
                </c:pt>
                <c:pt idx="41">
                  <c:v>44.7097835023294</c:v>
                </c:pt>
                <c:pt idx="42">
                  <c:v>94.4807065217391</c:v>
                </c:pt>
              </c:numCache>
            </c:numRef>
          </c:val>
        </c:ser>
        <c:ser>
          <c:idx val="3"/>
          <c:order val="3"/>
          <c:tx>
            <c:strRef>
              <c:f>Main!$A$240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B5E9B">
                <a:alpha val="5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Main!$D$240:$AW$240</c:f>
              <c:numCache>
                <c:formatCode>[$$-1009]#,##0.00;[RED]\-[$$-1009]#,##0.00</c:formatCode>
                <c:ptCount val="43"/>
                <c:pt idx="0">
                  <c:v>5.57300117088803</c:v>
                </c:pt>
                <c:pt idx="1">
                  <c:v>21.9780851855296</c:v>
                </c:pt>
                <c:pt idx="2">
                  <c:v>12.5216046184915</c:v>
                </c:pt>
                <c:pt idx="3">
                  <c:v>9.48268274812602</c:v>
                </c:pt>
                <c:pt idx="4">
                  <c:v>8.92889176388036</c:v>
                </c:pt>
                <c:pt idx="5">
                  <c:v>7.16012128504851</c:v>
                </c:pt>
                <c:pt idx="6">
                  <c:v>8.03725578835646</c:v>
                </c:pt>
                <c:pt idx="7">
                  <c:v>3.15356312935709</c:v>
                </c:pt>
                <c:pt idx="8">
                  <c:v>5.79821863940228</c:v>
                </c:pt>
                <c:pt idx="9">
                  <c:v>16.9886789032404</c:v>
                </c:pt>
                <c:pt idx="11">
                  <c:v>12.4814898327518</c:v>
                </c:pt>
                <c:pt idx="12">
                  <c:v>32.2094131196795</c:v>
                </c:pt>
                <c:pt idx="13">
                  <c:v>10.7581949039067</c:v>
                </c:pt>
                <c:pt idx="14">
                  <c:v>66.9507268689859</c:v>
                </c:pt>
                <c:pt idx="15">
                  <c:v>27.7285739369943</c:v>
                </c:pt>
                <c:pt idx="16">
                  <c:v>22.1355534525917</c:v>
                </c:pt>
                <c:pt idx="17">
                  <c:v>17.2839260123313</c:v>
                </c:pt>
                <c:pt idx="18">
                  <c:v>10.039024684484</c:v>
                </c:pt>
                <c:pt idx="19">
                  <c:v>22.853093467976</c:v>
                </c:pt>
                <c:pt idx="20">
                  <c:v>17.3197706495589</c:v>
                </c:pt>
                <c:pt idx="22">
                  <c:v>17.4925397606165</c:v>
                </c:pt>
                <c:pt idx="23">
                  <c:v>12.3830255549338</c:v>
                </c:pt>
                <c:pt idx="25">
                  <c:v>0</c:v>
                </c:pt>
                <c:pt idx="26">
                  <c:v>6.80595793436451</c:v>
                </c:pt>
                <c:pt idx="27">
                  <c:v>0</c:v>
                </c:pt>
                <c:pt idx="28">
                  <c:v>8.04545454545455</c:v>
                </c:pt>
                <c:pt idx="29">
                  <c:v>7.68423877729751</c:v>
                </c:pt>
                <c:pt idx="30">
                  <c:v>5.48533168520808</c:v>
                </c:pt>
                <c:pt idx="31">
                  <c:v>22.9027815431329</c:v>
                </c:pt>
                <c:pt idx="33">
                  <c:v>12.6289622589683</c:v>
                </c:pt>
                <c:pt idx="34">
                  <c:v>20.2266291956095</c:v>
                </c:pt>
                <c:pt idx="35">
                  <c:v>12.7680384580825</c:v>
                </c:pt>
                <c:pt idx="36">
                  <c:v>9.2414145369724</c:v>
                </c:pt>
                <c:pt idx="37">
                  <c:v>24.1929110981987</c:v>
                </c:pt>
                <c:pt idx="38">
                  <c:v>30.0213968288802</c:v>
                </c:pt>
                <c:pt idx="39">
                  <c:v>11.0976552179657</c:v>
                </c:pt>
                <c:pt idx="40">
                  <c:v>15.5549400696864</c:v>
                </c:pt>
                <c:pt idx="41">
                  <c:v>12.6123020005481</c:v>
                </c:pt>
                <c:pt idx="42">
                  <c:v>12.6118369565217</c:v>
                </c:pt>
              </c:numCache>
            </c:numRef>
          </c:val>
        </c:ser>
        <c:ser>
          <c:idx val="4"/>
          <c:order val="4"/>
          <c:tx>
            <c:strRef>
              <c:f>Main!$A$241</c:f>
              <c:strCache>
                <c:ptCount val="1"/>
                <c:pt idx="0">
                  <c:v>Overhead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Main!$D$241:$AW$241</c:f>
              <c:numCache>
                <c:formatCode>[$$-1009]#,##0.00;[RED]\-[$$-1009]#,##0.00</c:formatCode>
                <c:ptCount val="43"/>
                <c:pt idx="0">
                  <c:v>0</c:v>
                </c:pt>
                <c:pt idx="1">
                  <c:v>92.5057807123593</c:v>
                </c:pt>
                <c:pt idx="2">
                  <c:v>43.9355536043551</c:v>
                </c:pt>
                <c:pt idx="3">
                  <c:v>40.7876204700445</c:v>
                </c:pt>
                <c:pt idx="4">
                  <c:v>54.4342601526182</c:v>
                </c:pt>
                <c:pt idx="5">
                  <c:v>41.3760562304225</c:v>
                </c:pt>
                <c:pt idx="6">
                  <c:v>41.0051910452455</c:v>
                </c:pt>
                <c:pt idx="7">
                  <c:v>48.7167776917119</c:v>
                </c:pt>
                <c:pt idx="8">
                  <c:v>80.0255695372919</c:v>
                </c:pt>
                <c:pt idx="9">
                  <c:v>134.816769393459</c:v>
                </c:pt>
                <c:pt idx="11">
                  <c:v>39.8680519793045</c:v>
                </c:pt>
                <c:pt idx="12">
                  <c:v>58.3248072108162</c:v>
                </c:pt>
                <c:pt idx="13">
                  <c:v>34.1589697542533</c:v>
                </c:pt>
                <c:pt idx="14">
                  <c:v>83.0443227239082</c:v>
                </c:pt>
                <c:pt idx="15">
                  <c:v>42.7537338612498</c:v>
                </c:pt>
                <c:pt idx="16">
                  <c:v>78.1168105500946</c:v>
                </c:pt>
                <c:pt idx="17">
                  <c:v>64.0007237682608</c:v>
                </c:pt>
                <c:pt idx="18">
                  <c:v>77.5311627691166</c:v>
                </c:pt>
                <c:pt idx="19">
                  <c:v>60.188458633165</c:v>
                </c:pt>
                <c:pt idx="20">
                  <c:v>101.804704089816</c:v>
                </c:pt>
                <c:pt idx="22">
                  <c:v>47.4141662567634</c:v>
                </c:pt>
                <c:pt idx="23">
                  <c:v>25.1696698377168</c:v>
                </c:pt>
                <c:pt idx="25">
                  <c:v>120.647518576984</c:v>
                </c:pt>
                <c:pt idx="26">
                  <c:v>85.2228087404861</c:v>
                </c:pt>
                <c:pt idx="27">
                  <c:v>0</c:v>
                </c:pt>
                <c:pt idx="28">
                  <c:v>64.5055944055944</c:v>
                </c:pt>
                <c:pt idx="29">
                  <c:v>61.4022657287341</c:v>
                </c:pt>
                <c:pt idx="30">
                  <c:v>61.4552533992583</c:v>
                </c:pt>
                <c:pt idx="31">
                  <c:v>97.4677113267907</c:v>
                </c:pt>
                <c:pt idx="33">
                  <c:v>101.453605999011</c:v>
                </c:pt>
                <c:pt idx="34">
                  <c:v>73.6828612333634</c:v>
                </c:pt>
                <c:pt idx="35">
                  <c:v>66.1759120316291</c:v>
                </c:pt>
                <c:pt idx="36">
                  <c:v>43.7029331040471</c:v>
                </c:pt>
                <c:pt idx="37">
                  <c:v>85.3584166182452</c:v>
                </c:pt>
                <c:pt idx="38">
                  <c:v>86.3803193065233</c:v>
                </c:pt>
                <c:pt idx="39">
                  <c:v>41.3141710700132</c:v>
                </c:pt>
                <c:pt idx="40">
                  <c:v>115.102431358885</c:v>
                </c:pt>
                <c:pt idx="41">
                  <c:v>76.0579336804604</c:v>
                </c:pt>
                <c:pt idx="42">
                  <c:v>107.909048913043</c:v>
                </c:pt>
              </c:numCache>
            </c:numRef>
          </c:val>
        </c:ser>
        <c:gapWidth val="20"/>
        <c:overlap val="100"/>
        <c:axId val="82066254"/>
        <c:axId val="12700489"/>
      </c:barChart>
      <c:catAx>
        <c:axId val="8206625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12700489"/>
        <c:crosses val="autoZero"/>
        <c:auto val="1"/>
        <c:lblAlgn val="ctr"/>
        <c:lblOffset val="100"/>
        <c:noMultiLvlLbl val="0"/>
      </c:catAx>
      <c:valAx>
        <c:axId val="12700489"/>
        <c:scaling>
          <c:orientation val="minMax"/>
          <c:max val="350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[$$-1009]#,##0;[RED]\-[$$-1009]#,##0" sourceLinked="0"/>
        <c:majorTickMark val="out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82066254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64568008976437"/>
          <c:y val="0.411203319502075"/>
          <c:w val="0.623114324897145"/>
          <c:h val="0.5883817427385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Main!$A$143</c:f>
              <c:strCache>
                <c:ptCount val="1"/>
                <c:pt idx="0">
                  <c:v>Other Encounters</c:v>
                </c:pt>
              </c:strCache>
            </c:strRef>
          </c:tx>
          <c:spPr>
            <a:solidFill>
              <a:srgbClr val="8E86AE">
                <a:alpha val="9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Main!$BE$227</c:f>
              <c:strCache>
                <c:ptCount val="1"/>
                <c:pt idx="0">
                  <c:v/>
                </c:pt>
              </c:strCache>
            </c:strRef>
          </c:cat>
          <c:val>
            <c:numRef>
              <c:f>Main!$BE$143:$BF$143</c:f>
              <c:numCache>
                <c:formatCode>#,##0.00</c:formatCode>
                <c:ptCount val="2"/>
                <c:pt idx="0">
                  <c:v>0.0804003878311844</c:v>
                </c:pt>
              </c:numCache>
            </c:numRef>
          </c:val>
        </c:ser>
        <c:gapWidth val="20"/>
        <c:overlap val="0"/>
        <c:axId val="22629760"/>
        <c:axId val="63100017"/>
      </c:barChart>
      <c:catAx>
        <c:axId val="2262976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63100017"/>
        <c:crosses val="autoZero"/>
        <c:auto val="1"/>
        <c:lblAlgn val="ctr"/>
        <c:lblOffset val="100"/>
        <c:noMultiLvlLbl val="0"/>
      </c:catAx>
      <c:valAx>
        <c:axId val="63100017"/>
        <c:scaling>
          <c:orientation val="minMax"/>
          <c:max val="2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 Narrow"/>
                <a:ea typeface="DejaVu Sans"/>
              </a:defRPr>
            </a:pPr>
          </a:p>
        </c:txPr>
        <c:crossAx val="22629760"/>
        <c:crosses val="autoZero"/>
        <c:crossBetween val="midCat"/>
        <c:majorUnit val="0.5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200" b="0" u="none" strike="noStrike">
                <a:solidFill>
                  <a:srgbClr val="666666"/>
                </a:solidFill>
                <a:uFillTx/>
                <a:latin typeface="Arial"/>
                <a:ea typeface="DejaVu Sans"/>
              </a:rPr>
              <a:t>Encounters per Visit: 1.67</a:t>
            </a:r>
          </a:p>
        </c:rich>
      </c:tx>
      <c:layout>
        <c:manualLayout>
          <c:xMode val="edge"/>
          <c:yMode val="edge"/>
          <c:x val="0.344495493903517"/>
          <c:y val="0.75835027592216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3281498497968"/>
          <c:y val="0.476038338658147"/>
          <c:w val="0.616716734405372"/>
          <c:h val="0.2950914899796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B85C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B85C00">
                  <a:alpha val="5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Main!$A$251,Main!$A$256</c:f>
              <c:multiLvlStrCache>
                <c:ptCount val="1"/>
                <c:lvl>
                  <c:pt idx="0">
                    <c:v>Total Encounters</c:v>
                  </c:pt>
                </c:lvl>
                <c:lvl>
                  <c:pt idx="0">
                    <c:v>Total visits</c:v>
                  </c:pt>
                </c:lvl>
              </c:multiLvlStrCache>
            </c:multiLvlStrRef>
          </c:cat>
          <c:val>
            <c:numRef>
              <c:f>Main!$C$251,Main!$C$256</c:f>
              <c:numCache>
                <c:formatCode>#,##0</c:formatCode>
                <c:ptCount val="2"/>
                <c:pt idx="0">
                  <c:v>898329</c:v>
                </c:pt>
                <c:pt idx="1">
                  <c:v>1497444</c:v>
                </c:pt>
              </c:numCache>
            </c:numRef>
          </c:val>
        </c:ser>
        <c:gapWidth val="20"/>
        <c:overlap val="0"/>
        <c:axId val="5410795"/>
        <c:axId val="10154266"/>
      </c:barChart>
      <c:catAx>
        <c:axId val="5410795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10154266"/>
        <c:crosses val="autoZero"/>
        <c:auto val="1"/>
        <c:lblAlgn val="ctr"/>
        <c:lblOffset val="100"/>
        <c:noMultiLvlLbl val="0"/>
      </c:catAx>
      <c:valAx>
        <c:axId val="10154266"/>
        <c:scaling>
          <c:orientation val="minMax"/>
          <c:max val="1500000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5410795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350306850223918"/>
          <c:y val="0.296938316073841"/>
          <c:w val="0.566097196881738"/>
          <c:h val="0.4741107609185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A6099">
                <a:alpha val="5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2A6099">
                  <a:alpha val="80000"/>
                </a:srgbClr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2A6099">
                  <a:alpha val="70000"/>
                </a:srgbClr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158466">
                  <a:alpha val="80000"/>
                </a:srgbClr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158466">
                  <a:alpha val="70000"/>
                </a:srgbClr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8E86AE">
                  <a:alpha val="8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Main!$A$28:$A$32</c:f>
              <c:strCache>
                <c:ptCount val="5"/>
                <c:pt idx="0">
                  <c:v>Family Physician </c:v>
                </c:pt>
                <c:pt idx="1">
                  <c:v>Nurse Practitioner</c:v>
                </c:pt>
                <c:pt idx="2">
                  <c:v>Registered Nurse</c:v>
                </c:pt>
                <c:pt idx="3">
                  <c:v>Licensed Practical Nurse</c:v>
                </c:pt>
                <c:pt idx="4">
                  <c:v>Allied Health</c:v>
                </c:pt>
              </c:strCache>
            </c:strRef>
          </c:cat>
          <c:val>
            <c:numRef>
              <c:f>Main!$BE$28:$BE$32</c:f>
              <c:numCache>
                <c:formatCode>#,##0</c:formatCode>
                <c:ptCount val="5"/>
                <c:pt idx="0">
                  <c:v>426329</c:v>
                </c:pt>
                <c:pt idx="1">
                  <c:v>160445</c:v>
                </c:pt>
                <c:pt idx="2">
                  <c:v>775885</c:v>
                </c:pt>
                <c:pt idx="3">
                  <c:v>62559</c:v>
                </c:pt>
                <c:pt idx="4">
                  <c:v>72226</c:v>
                </c:pt>
              </c:numCache>
            </c:numRef>
          </c:val>
        </c:ser>
        <c:gapWidth val="20"/>
        <c:overlap val="0"/>
        <c:axId val="73558395"/>
        <c:axId val="96177007"/>
      </c:barChart>
      <c:catAx>
        <c:axId val="73558395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96177007"/>
        <c:crosses val="autoZero"/>
        <c:auto val="1"/>
        <c:lblAlgn val="ctr"/>
        <c:lblOffset val="100"/>
        <c:noMultiLvlLbl val="0"/>
      </c:catAx>
      <c:valAx>
        <c:axId val="96177007"/>
        <c:scaling>
          <c:orientation val="minMax"/>
          <c:max val="800000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73558395"/>
        <c:crosses val="autoZero"/>
        <c:crossBetween val="midCat"/>
        <c:majorUnit val="200000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400" b="1" u="none" strike="noStrike">
                <a:solidFill>
                  <a:srgbClr val="808080"/>
                </a:solidFill>
                <a:uFillTx/>
                <a:latin typeface="Arial"/>
                <a:ea typeface="DejaVu Sans"/>
              </a:rPr>
              <a:t> Actual Costs</a:t>
            </a:r>
          </a:p>
        </c:rich>
      </c:tx>
      <c:layout>
        <c:manualLayout>
          <c:xMode val="edge"/>
          <c:yMode val="edge"/>
          <c:x val="0.000810208628721896"/>
          <c:y val="0.0043266630611141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24448045372"/>
          <c:y val="0.139129259058951"/>
          <c:w val="0.404699210046587"/>
          <c:h val="0.405083829096809"/>
        </c:manualLayout>
      </c:layout>
      <c:lineChart>
        <c:grouping val="standard"/>
        <c:varyColors val="0"/>
        <c:ser>
          <c:idx val="0"/>
          <c:order val="0"/>
          <c:tx>
            <c:strRef>
              <c:f>Main!$A$283</c:f>
              <c:strCache>
                <c:ptCount val="1"/>
                <c:pt idx="0">
                  <c:v>Overhead</c:v>
                </c:pt>
              </c:strCache>
            </c:strRef>
          </c:tx>
          <c:spPr>
            <a:solidFill>
              <a:srgbClr val="000000">
                <a:alpha val="60000"/>
              </a:srgbClr>
            </a:solidFill>
            <a:ln w="72000">
              <a:solidFill>
                <a:srgbClr val="000000">
                  <a:alpha val="60000"/>
                </a:srgbClr>
              </a:solidFill>
              <a:round/>
            </a:ln>
          </c:spPr>
          <c:marker>
            <c:symbol val="circle"/>
            <c:size val="10"/>
            <c:spPr>
              <a:solidFill>
                <a:srgbClr val="000000"/>
              </a:solidFill>
            </c:spPr>
          </c:marker>
          <c:dPt>
            <c:idx val="2"/>
            <c:marker>
              <c:symbol val="circle"/>
              <c:size val="10"/>
              <c:spPr>
                <a:solidFill>
                  <a:srgbClr val="000000"/>
                </a:solidFill>
              </c:spPr>
            </c:marker>
          </c:dPt>
          <c:dLbls>
            <c:dLbl>
              <c:idx val="2"/>
              <c:layout>
                <c:manualLayout>
                  <c:x val="-0.0775774762001215"/>
                  <c:y val="0.00432666306111412"/>
                </c:manualLayout>
              </c:layout>
              <c:numFmt formatCode="[$$-1009]#,##0;[RED]\-[$$-1009]#,##0" sourceLinked="0"/>
              <c:txPr>
                <a:bodyPr wrap="none"/>
                <a:lstStyle/>
                <a:p>
                  <a:pPr>
                    <a:defRPr sz="1100" b="0" u="none" strike="noStrike">
                      <a:solidFill>
                        <a:srgbClr val="666666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Main!$D$283:$F$283</c:f>
              <c:numCache>
                <c:formatCode>#,##0</c:formatCode>
                <c:ptCount val="3"/>
                <c:pt idx="0">
                  <c:v>28790918</c:v>
                </c:pt>
                <c:pt idx="1">
                  <c:v>40290765</c:v>
                </c:pt>
                <c:pt idx="2">
                  <c:v>52487763.36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858745"/>
        <c:axId val="81219166"/>
      </c:lineChart>
      <c:catAx>
        <c:axId val="7385874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81219166"/>
        <c:crosses val="autoZero"/>
        <c:auto val="1"/>
        <c:lblAlgn val="ctr"/>
        <c:lblOffset val="100"/>
        <c:noMultiLvlLbl val="0"/>
      </c:catAx>
      <c:valAx>
        <c:axId val="81219166"/>
        <c:scaling>
          <c:orientation val="minMax"/>
        </c:scaling>
        <c:delete val="0"/>
        <c:axPos val="l"/>
        <c:numFmt formatCode="\$0,,\M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73858745"/>
        <c:crosses val="autoZero"/>
        <c:crossBetween val="between"/>
        <c:majorUnit val="10000000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400" b="1" u="none" strike="noStrike">
                <a:solidFill>
                  <a:srgbClr val="808080"/>
                </a:solidFill>
                <a:uFillTx/>
                <a:latin typeface="Arial"/>
                <a:ea typeface="DejaVu Sans"/>
              </a:rPr>
              <a:t>Costs as % Budgeted</a:t>
            </a:r>
          </a:p>
        </c:rich>
      </c:tx>
      <c:layout>
        <c:manualLayout>
          <c:xMode val="edge"/>
          <c:yMode val="edge"/>
          <c:x val="0.00442942067840075"/>
          <c:y val="0.0040961223375204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121925632358"/>
          <c:y val="0.126160567995631"/>
          <c:w val="0.465555426040331"/>
          <c:h val="0.408793009284544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808080"/>
            </a:solidFill>
            <a:ln w="28800">
              <a:solidFill>
                <a:srgbClr val="808080"/>
              </a:solidFill>
              <a:prstDash val="sysDot"/>
              <a:round/>
            </a:ln>
          </c:spPr>
          <c:marker>
            <c:symbol val="none"/>
          </c:marker>
          <c:dPt>
            <c:idx val="2"/>
            <c:marker>
              <c:symbol val="none"/>
            </c:marker>
          </c:dPt>
          <c:dLbls>
            <c:dLbl>
              <c:idx val="2"/>
              <c:numFmt formatCode="0.00%" sourceLinked="0"/>
              <c:txPr>
                <a:bodyPr wrap="none"/>
                <a:lstStyle/>
                <a:p>
                  <a:pPr>
                    <a:defRPr sz="800" b="0" u="none" strike="noStrike">
                      <a:solidFill>
                        <a:srgbClr val="999999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  <a:prstDash val="sysDot"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Main!$D$304:$F$304</c:f>
              <c:numCache>
                <c:formatCode>0.00%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Main!$A$294</c:f>
              <c:strCache>
                <c:ptCount val="1"/>
                <c:pt idx="0">
                  <c:v>Overhead</c:v>
                </c:pt>
              </c:strCache>
            </c:strRef>
          </c:tx>
          <c:spPr>
            <a:solidFill>
              <a:srgbClr val="000000">
                <a:alpha val="60000"/>
              </a:srgbClr>
            </a:solidFill>
            <a:ln w="72000">
              <a:solidFill>
                <a:srgbClr val="000000">
                  <a:alpha val="60000"/>
                </a:srgbClr>
              </a:solidFill>
              <a:round/>
            </a:ln>
          </c:spPr>
          <c:marker>
            <c:symbol val="circle"/>
            <c:size val="10"/>
            <c:spPr>
              <a:solidFill>
                <a:srgbClr val="000000"/>
              </a:solidFill>
            </c:spPr>
          </c:marker>
          <c:dPt>
            <c:idx val="2"/>
            <c:marker>
              <c:symbol val="circle"/>
              <c:size val="10"/>
              <c:spPr>
                <a:solidFill>
                  <a:srgbClr val="000000"/>
                </a:solidFill>
              </c:spPr>
            </c:marker>
          </c:dPt>
          <c:dLbls>
            <c:dLbl>
              <c:idx val="2"/>
              <c:layout>
                <c:manualLayout>
                  <c:x val="0.124140342697284"/>
                  <c:y val="0.059393773894047"/>
                </c:manualLayout>
              </c:layout>
              <c:numFmt formatCode="0.00%" sourceLinked="0"/>
              <c:txPr>
                <a:bodyPr wrap="none"/>
                <a:lstStyle/>
                <a:p>
                  <a:pPr>
                    <a:defRPr sz="1100" b="0" u="none" strike="noStrike">
                      <a:solidFill>
                        <a:srgbClr val="666666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Main!$D$294:$F$294</c:f>
              <c:numCache>
                <c:formatCode>0.00%</c:formatCode>
                <c:ptCount val="3"/>
                <c:pt idx="0">
                  <c:v>1.17779830575086</c:v>
                </c:pt>
                <c:pt idx="1">
                  <c:v>1.35610791829135</c:v>
                </c:pt>
                <c:pt idx="2">
                  <c:v>1.55182641070881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1388235"/>
        <c:axId val="25009827"/>
      </c:lineChart>
      <c:catAx>
        <c:axId val="9138823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25009827"/>
        <c:crosses val="autoZero"/>
        <c:auto val="1"/>
        <c:lblAlgn val="ctr"/>
        <c:lblOffset val="100"/>
        <c:noMultiLvlLbl val="0"/>
      </c:catAx>
      <c:valAx>
        <c:axId val="25009827"/>
        <c:scaling>
          <c:orientation val="minMax"/>
          <c:max val="1.6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91388235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321817499061209"/>
          <c:y val="0.0911672395755492"/>
          <c:w val="0.469207660533233"/>
          <c:h val="0.79694116474866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Main!$A$231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Main!$D$231:$AW$231</c:f>
              <c:numCache>
                <c:formatCode>General</c:formatCode>
                <c:ptCount val="43"/>
              </c:numCache>
            </c:numRef>
          </c:val>
        </c:ser>
        <c:ser>
          <c:idx val="1"/>
          <c:order val="1"/>
          <c:tx>
            <c:strRef>
              <c:f>Main!$A$228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2A6099">
                <a:alpha val="2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2A6099">
                  <a:alpha val="2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Main!$D$228:$AW$228</c:f>
              <c:numCache>
                <c:formatCode>General</c:formatCode>
                <c:ptCount val="43"/>
              </c:numCache>
            </c:numRef>
          </c:val>
        </c:ser>
        <c:ser>
          <c:idx val="2"/>
          <c:order val="2"/>
          <c:tx>
            <c:strRef>
              <c:f>Main!$A$229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158466">
                <a:alpha val="2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158466">
                  <a:alpha val="20000"/>
                </a:srgbClr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158466">
                  <a:alpha val="2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9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Main!$D$229:$AW$229</c:f>
              <c:numCache>
                <c:formatCode>General</c:formatCode>
                <c:ptCount val="43"/>
              </c:numCache>
            </c:numRef>
          </c:val>
        </c:ser>
        <c:ser>
          <c:idx val="3"/>
          <c:order val="3"/>
          <c:tx>
            <c:strRef>
              <c:f>Main!$A$230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6B5E9B">
                <a:alpha val="2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Main!$D$230:$AW$230</c:f>
              <c:numCache>
                <c:formatCode>General</c:formatCode>
                <c:ptCount val="43"/>
              </c:numCache>
            </c:numRef>
          </c:val>
        </c:ser>
        <c:gapWidth val="20"/>
        <c:overlap val="100"/>
        <c:axId val="31786805"/>
        <c:axId val="25430677"/>
      </c:barChart>
      <c:catAx>
        <c:axId val="31786805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25430677"/>
        <c:crosses val="autoZero"/>
        <c:auto val="1"/>
        <c:lblAlgn val="ctr"/>
        <c:lblOffset val="100"/>
        <c:noMultiLvlLbl val="0"/>
      </c:catAx>
      <c:valAx>
        <c:axId val="25430677"/>
        <c:scaling>
          <c:orientation val="minMax"/>
        </c:scaling>
        <c:delete val="0"/>
        <c:axPos val="l"/>
        <c:numFmt formatCode="[$-1009]0%" sourceLinked="0"/>
        <c:majorTickMark val="out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31786805"/>
        <c:crosses val="autoZero"/>
        <c:crossBetween val="midCat"/>
        <c:majorUnit val="0.25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318029700899393"/>
          <c:y val="0.0709923265647022"/>
          <c:w val="0.522589416440075"/>
          <c:h val="0.8349950409771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Main!$C$22</c:f>
              <c:strCache>
                <c:ptCount val="1"/>
                <c:pt idx="0">
                  <c:v>$ Budgeted</c:v>
                </c:pt>
              </c:strCache>
            </c:strRef>
          </c:tx>
          <c:spPr>
            <a:solidFill>
              <a:srgbClr val="000000">
                <a:alpha val="3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00">
                  <a:alpha val="3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Main!$D$22:$AW$22</c:f>
              <c:numCache>
                <c:formatCode>#,##0</c:formatCode>
                <c:ptCount val="43"/>
                <c:pt idx="0">
                  <c:v>600000</c:v>
                </c:pt>
                <c:pt idx="1">
                  <c:v>238115.72</c:v>
                </c:pt>
                <c:pt idx="2">
                  <c:v>493699.54</c:v>
                </c:pt>
                <c:pt idx="3">
                  <c:v>903924.34</c:v>
                </c:pt>
                <c:pt idx="4">
                  <c:v>937346.89</c:v>
                </c:pt>
                <c:pt idx="5">
                  <c:v>1147172.67</c:v>
                </c:pt>
                <c:pt idx="6">
                  <c:v>1210157.35</c:v>
                </c:pt>
                <c:pt idx="7">
                  <c:v>217022.66</c:v>
                </c:pt>
                <c:pt idx="8">
                  <c:v>218747.16</c:v>
                </c:pt>
                <c:pt idx="9">
                  <c:v>808038.16</c:v>
                </c:pt>
                <c:pt idx="11">
                  <c:v>1585508.55</c:v>
                </c:pt>
                <c:pt idx="12">
                  <c:v>760831.32</c:v>
                </c:pt>
                <c:pt idx="13">
                  <c:v>1085115.66</c:v>
                </c:pt>
                <c:pt idx="14">
                  <c:v>245559</c:v>
                </c:pt>
                <c:pt idx="15">
                  <c:v>637191.56</c:v>
                </c:pt>
                <c:pt idx="16">
                  <c:v>608355.08</c:v>
                </c:pt>
                <c:pt idx="17">
                  <c:v>710749.5</c:v>
                </c:pt>
                <c:pt idx="18">
                  <c:v>685344.28</c:v>
                </c:pt>
                <c:pt idx="19">
                  <c:v>1197452.3</c:v>
                </c:pt>
                <c:pt idx="20">
                  <c:v>1412028.09</c:v>
                </c:pt>
                <c:pt idx="22">
                  <c:v>349066.86</c:v>
                </c:pt>
                <c:pt idx="23">
                  <c:v>537772.1</c:v>
                </c:pt>
                <c:pt idx="25">
                  <c:v>960249.8</c:v>
                </c:pt>
                <c:pt idx="26">
                  <c:v>1121150</c:v>
                </c:pt>
                <c:pt idx="28">
                  <c:v>1015951</c:v>
                </c:pt>
                <c:pt idx="29">
                  <c:v>1748748.05</c:v>
                </c:pt>
                <c:pt idx="30">
                  <c:v>991530</c:v>
                </c:pt>
                <c:pt idx="31">
                  <c:v>1834994.33</c:v>
                </c:pt>
                <c:pt idx="33">
                  <c:v>356656.72</c:v>
                </c:pt>
                <c:pt idx="34">
                  <c:v>758319.12</c:v>
                </c:pt>
                <c:pt idx="35">
                  <c:v>756398.82</c:v>
                </c:pt>
                <c:pt idx="36">
                  <c:v>1518160.95</c:v>
                </c:pt>
                <c:pt idx="37">
                  <c:v>791918.4</c:v>
                </c:pt>
                <c:pt idx="38">
                  <c:v>805054.19</c:v>
                </c:pt>
                <c:pt idx="39">
                  <c:v>1036177.8</c:v>
                </c:pt>
                <c:pt idx="40">
                  <c:v>149526.66</c:v>
                </c:pt>
                <c:pt idx="41">
                  <c:v>195734.03</c:v>
                </c:pt>
                <c:pt idx="42">
                  <c:v>110957.93</c:v>
                </c:pt>
              </c:numCache>
            </c:numRef>
          </c:val>
        </c:ser>
        <c:ser>
          <c:idx val="1"/>
          <c:order val="1"/>
          <c:tx>
            <c:strRef>
              <c:f>Main!$C$23</c:f>
              <c:strCache>
                <c:ptCount val="1"/>
                <c:pt idx="0">
                  <c:v>$ Actual</c:v>
                </c:pt>
              </c:strCache>
            </c:strRef>
          </c:tx>
          <c:spPr>
            <a:solidFill>
              <a:srgbClr val="0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Main!$D$23:$AW$23</c:f>
              <c:numCache>
                <c:formatCode>#,##0</c:formatCode>
                <c:ptCount val="43"/>
                <c:pt idx="1">
                  <c:v>994714.66</c:v>
                </c:pt>
                <c:pt idx="2">
                  <c:v>1000764.04</c:v>
                </c:pt>
                <c:pt idx="3">
                  <c:v>1447389.5</c:v>
                </c:pt>
                <c:pt idx="4">
                  <c:v>1241210</c:v>
                </c:pt>
                <c:pt idx="5">
                  <c:v>2166284.8</c:v>
                </c:pt>
                <c:pt idx="6">
                  <c:v>2086262.11</c:v>
                </c:pt>
                <c:pt idx="7">
                  <c:v>566040.24</c:v>
                </c:pt>
                <c:pt idx="8">
                  <c:v>610515.07</c:v>
                </c:pt>
                <c:pt idx="9">
                  <c:v>1784839.21</c:v>
                </c:pt>
                <c:pt idx="11">
                  <c:v>1656716.9</c:v>
                </c:pt>
                <c:pt idx="12">
                  <c:v>1164746.4</c:v>
                </c:pt>
                <c:pt idx="13">
                  <c:v>1734729.12</c:v>
                </c:pt>
                <c:pt idx="14">
                  <c:v>560964.4</c:v>
                </c:pt>
                <c:pt idx="15">
                  <c:v>1241782.2</c:v>
                </c:pt>
                <c:pt idx="16">
                  <c:v>1279475.24</c:v>
                </c:pt>
                <c:pt idx="17">
                  <c:v>1152205.03</c:v>
                </c:pt>
                <c:pt idx="18">
                  <c:v>835475.81</c:v>
                </c:pt>
                <c:pt idx="19">
                  <c:v>1513920.3</c:v>
                </c:pt>
                <c:pt idx="20">
                  <c:v>634752.33</c:v>
                </c:pt>
                <c:pt idx="22">
                  <c:v>289179</c:v>
                </c:pt>
                <c:pt idx="23">
                  <c:v>674673</c:v>
                </c:pt>
                <c:pt idx="25">
                  <c:v>3133578</c:v>
                </c:pt>
                <c:pt idx="26">
                  <c:v>2082675</c:v>
                </c:pt>
                <c:pt idx="28">
                  <c:v>1568131</c:v>
                </c:pt>
                <c:pt idx="29">
                  <c:v>2173456</c:v>
                </c:pt>
                <c:pt idx="30">
                  <c:v>1491519</c:v>
                </c:pt>
                <c:pt idx="31">
                  <c:v>1797597</c:v>
                </c:pt>
                <c:pt idx="33">
                  <c:v>1846759.99</c:v>
                </c:pt>
                <c:pt idx="34">
                  <c:v>1389585.08</c:v>
                </c:pt>
                <c:pt idx="35">
                  <c:v>1472943.45</c:v>
                </c:pt>
                <c:pt idx="36">
                  <c:v>2566804.37</c:v>
                </c:pt>
                <c:pt idx="37">
                  <c:v>1469018.35</c:v>
                </c:pt>
                <c:pt idx="38">
                  <c:v>1574454.08</c:v>
                </c:pt>
                <c:pt idx="39">
                  <c:v>1250993.1</c:v>
                </c:pt>
                <c:pt idx="40">
                  <c:v>1651719.89</c:v>
                </c:pt>
                <c:pt idx="41">
                  <c:v>277535.4</c:v>
                </c:pt>
                <c:pt idx="42">
                  <c:v>397105.3</c:v>
                </c:pt>
              </c:numCache>
            </c:numRef>
          </c:val>
        </c:ser>
        <c:gapWidth val="50"/>
        <c:overlap val="0"/>
        <c:axId val="26454452"/>
        <c:axId val="33637703"/>
      </c:barChart>
      <c:catAx>
        <c:axId val="2645445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33637703"/>
        <c:crosses val="autoZero"/>
        <c:auto val="1"/>
        <c:lblAlgn val="ctr"/>
        <c:lblOffset val="100"/>
        <c:noMultiLvlLbl val="0"/>
      </c:catAx>
      <c:valAx>
        <c:axId val="33637703"/>
        <c:scaling>
          <c:orientation val="minMax"/>
          <c:max val="3000000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\$0,,\M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26454452"/>
        <c:crosses val="autoZero"/>
        <c:crossBetween val="midCat"/>
        <c:majorUnit val="1000000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232112290311537"/>
          <c:y val="0.0415565830030823"/>
          <c:w val="0.570352618966107"/>
          <c:h val="0.880504183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Main!$C$103</c:f>
              <c:strCache>
                <c:ptCount val="1"/>
                <c:pt idx="0">
                  <c:v>%Budgeted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00">
                  <a:alpha val="50000"/>
                </a:srgbClr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00">
                  <a:alpha val="50000"/>
                </a:srgbClr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0000">
                  <a:alpha val="50000"/>
                </a:srgbClr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0000">
                  <a:alpha val="50000"/>
                </a:srgbClr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0000">
                  <a:alpha val="50000"/>
                </a:srgbClr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0000">
                  <a:alpha val="50000"/>
                </a:srgbClr>
              </a:solidFill>
              <a:ln w="0">
                <a:noFill/>
              </a:ln>
            </c:spPr>
          </c:dPt>
          <c:dPt>
            <c:idx val="25"/>
            <c:invertIfNegative val="0"/>
            <c:spPr>
              <a:solidFill>
                <a:srgbClr val="000000">
                  <a:alpha val="50000"/>
                </a:srgbClr>
              </a:solidFill>
              <a:ln w="0">
                <a:noFill/>
              </a:ln>
            </c:spPr>
          </c:dPt>
          <c:dPt>
            <c:idx val="26"/>
            <c:invertIfNegative val="0"/>
            <c:spPr>
              <a:solidFill>
                <a:srgbClr val="000000">
                  <a:alpha val="50000"/>
                </a:srgbClr>
              </a:solidFill>
              <a:ln w="0">
                <a:noFill/>
              </a:ln>
            </c:spPr>
          </c:dPt>
          <c:dPt>
            <c:idx val="33"/>
            <c:invertIfNegative val="0"/>
            <c:spPr>
              <a:solidFill>
                <a:srgbClr val="000000">
                  <a:alpha val="50000"/>
                </a:srgbClr>
              </a:solidFill>
              <a:ln w="0">
                <a:noFill/>
              </a:ln>
            </c:spPr>
          </c:dPt>
          <c:dPt>
            <c:idx val="36"/>
            <c:invertIfNegative val="0"/>
            <c:spPr>
              <a:solidFill>
                <a:srgbClr val="000000">
                  <a:alpha val="50000"/>
                </a:srgbClr>
              </a:solidFill>
              <a:ln w="0">
                <a:noFill/>
              </a:ln>
            </c:spPr>
          </c:dPt>
          <c:dPt>
            <c:idx val="40"/>
            <c:invertIfNegative val="0"/>
            <c:spPr>
              <a:solidFill>
                <a:srgbClr val="000000">
                  <a:alpha val="50000"/>
                </a:srgbClr>
              </a:solidFill>
              <a:ln w="0">
                <a:noFill/>
              </a:ln>
            </c:spPr>
          </c:dPt>
          <c:dPt>
            <c:idx val="42"/>
            <c:invertIfNegative val="0"/>
            <c:spPr>
              <a:solidFill>
                <a:srgbClr val="000000">
                  <a:alpha val="5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numFmt formatCode="0%" sourceLinked="0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8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9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5"/>
              <c:numFmt formatCode="0%" sourceLinked="0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 </c:separator>
            </c:dLbl>
            <c:dLbl>
              <c:idx val="26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3"/>
              <c:numFmt formatCode="0%" sourceLinked="0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 </c:separator>
            </c:dLbl>
            <c:dLbl>
              <c:idx val="36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0"/>
              <c:numFmt formatCode="0%" sourceLinked="0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 </c:separator>
            </c:dLbl>
            <c:dLbl>
              <c:idx val="42"/>
              <c:numFmt formatCode="0%" sourceLinked="0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900" b="0" u="none" strike="noStrike">
                    <a:solidFill>
                      <a:srgbClr val="80808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Main!$D$103:$AW$103</c:f>
              <c:numCache>
                <c:formatCode>0.00%</c:formatCode>
                <c:ptCount val="43"/>
                <c:pt idx="0">
                  <c:v>0</c:v>
                </c:pt>
                <c:pt idx="1">
                  <c:v>4.17744221171118</c:v>
                </c:pt>
                <c:pt idx="2">
                  <c:v>2.02707104000948</c:v>
                </c:pt>
                <c:pt idx="3">
                  <c:v>1.60122859397723</c:v>
                </c:pt>
                <c:pt idx="4">
                  <c:v>1.32417359383355</c:v>
                </c:pt>
                <c:pt idx="5">
                  <c:v>1.88836855745526</c:v>
                </c:pt>
                <c:pt idx="6">
                  <c:v>1.7239593760266</c:v>
                </c:pt>
                <c:pt idx="7">
                  <c:v>2.60820800924659</c:v>
                </c:pt>
                <c:pt idx="8">
                  <c:v>2.79096226895014</c:v>
                </c:pt>
                <c:pt idx="9">
                  <c:v>2.20885509912057</c:v>
                </c:pt>
                <c:pt idx="11">
                  <c:v>1.04491199369439</c:v>
                </c:pt>
                <c:pt idx="12">
                  <c:v>1.53088650451456</c:v>
                </c:pt>
                <c:pt idx="13">
                  <c:v>1.59865826652986</c:v>
                </c:pt>
                <c:pt idx="14">
                  <c:v>2.28443836308179</c:v>
                </c:pt>
                <c:pt idx="15">
                  <c:v>1.94883654767806</c:v>
                </c:pt>
                <c:pt idx="16">
                  <c:v>2.10317178579326</c:v>
                </c:pt>
                <c:pt idx="17">
                  <c:v>1.62111268456749</c:v>
                </c:pt>
                <c:pt idx="18">
                  <c:v>1.2190600175433</c:v>
                </c:pt>
                <c:pt idx="19">
                  <c:v>1.26428443120448</c:v>
                </c:pt>
                <c:pt idx="20">
                  <c:v>0.449532367305809</c:v>
                </c:pt>
                <c:pt idx="22">
                  <c:v>0.828434415114629</c:v>
                </c:pt>
                <c:pt idx="23">
                  <c:v>1.25457047697342</c:v>
                </c:pt>
                <c:pt idx="25">
                  <c:v>3.26329461354743</c:v>
                </c:pt>
                <c:pt idx="26">
                  <c:v>1.85762386834946</c:v>
                </c:pt>
                <c:pt idx="28">
                  <c:v>1.54351046457949</c:v>
                </c:pt>
                <c:pt idx="29">
                  <c:v>1.24286400204992</c:v>
                </c:pt>
                <c:pt idx="30">
                  <c:v>1.50426008290218</c:v>
                </c:pt>
                <c:pt idx="31">
                  <c:v>0.979619920678447</c:v>
                </c:pt>
                <c:pt idx="33">
                  <c:v>5.17797615028815</c:v>
                </c:pt>
                <c:pt idx="34">
                  <c:v>1.83245423114216</c:v>
                </c:pt>
                <c:pt idx="35">
                  <c:v>1.9473106132027</c:v>
                </c:pt>
                <c:pt idx="36">
                  <c:v>1.69073270525105</c:v>
                </c:pt>
                <c:pt idx="37">
                  <c:v>1.85501227146635</c:v>
                </c:pt>
                <c:pt idx="38">
                  <c:v>1.95571192542952</c:v>
                </c:pt>
                <c:pt idx="39">
                  <c:v>1.20731509592273</c:v>
                </c:pt>
                <c:pt idx="40">
                  <c:v>11.0463237124403</c:v>
                </c:pt>
                <c:pt idx="41">
                  <c:v>1.4179210431625</c:v>
                </c:pt>
                <c:pt idx="42">
                  <c:v>3.57888165361412</c:v>
                </c:pt>
              </c:numCache>
            </c:numRef>
          </c:val>
        </c:ser>
        <c:gapWidth val="20"/>
        <c:overlap val="0"/>
        <c:axId val="15495200"/>
        <c:axId val="7750467"/>
      </c:barChart>
      <c:catAx>
        <c:axId val="1549520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7750467"/>
        <c:crosses val="autoZero"/>
        <c:auto val="1"/>
        <c:lblAlgn val="ctr"/>
        <c:lblOffset val="100"/>
        <c:noMultiLvlLbl val="0"/>
      </c:catAx>
      <c:valAx>
        <c:axId val="7750467"/>
        <c:scaling>
          <c:orientation val="minMax"/>
          <c:max val="3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15495200"/>
        <c:crosses val="autoZero"/>
        <c:crossBetween val="midCat"/>
        <c:majorUnit val="1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400" b="1" u="none" strike="noStrike">
                <a:solidFill>
                  <a:srgbClr val="808080"/>
                </a:solidFill>
                <a:uFillTx/>
                <a:latin typeface="Arial"/>
                <a:ea typeface="DejaVu Sans"/>
              </a:rPr>
              <a:t> Actual Costs</a:t>
            </a:r>
          </a:p>
        </c:rich>
      </c:tx>
      <c:layout>
        <c:manualLayout>
          <c:xMode val="edge"/>
          <c:yMode val="edge"/>
          <c:x val="0.000810208628721896"/>
          <c:y val="0.0043266630611141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252987644318"/>
          <c:y val="0.134532179556517"/>
          <c:w val="0.404597933967997"/>
          <c:h val="0.404948620876149"/>
        </c:manualLayout>
      </c:layout>
      <c:lineChart>
        <c:grouping val="standard"/>
        <c:varyColors val="0"/>
        <c:ser>
          <c:idx val="0"/>
          <c:order val="0"/>
          <c:tx>
            <c:strRef>
              <c:f>Main!$A$282</c:f>
              <c:strCache>
                <c:ptCount val="1"/>
                <c:pt idx="0">
                  <c:v>Nursing</c:v>
                </c:pt>
              </c:strCache>
            </c:strRef>
          </c:tx>
          <c:spPr>
            <a:solidFill>
              <a:srgbClr val="158466">
                <a:alpha val="60000"/>
              </a:srgbClr>
            </a:solidFill>
            <a:ln w="72000">
              <a:solidFill>
                <a:srgbClr val="158466">
                  <a:alpha val="60000"/>
                </a:srgbClr>
              </a:solidFill>
              <a:round/>
            </a:ln>
          </c:spPr>
          <c:marker>
            <c:symbol val="circle"/>
            <c:size val="10"/>
            <c:spPr>
              <a:solidFill>
                <a:srgbClr val="158466"/>
              </a:solidFill>
            </c:spPr>
          </c:marker>
          <c:dPt>
            <c:idx val="2"/>
            <c:marker>
              <c:symbol val="circle"/>
              <c:size val="10"/>
              <c:spPr>
                <a:solidFill>
                  <a:srgbClr val="158466"/>
                </a:solidFill>
              </c:spPr>
            </c:marker>
          </c:dPt>
          <c:dLbls>
            <c:dLbl>
              <c:idx val="2"/>
              <c:layout>
                <c:manualLayout>
                  <c:x val="-0.0638039295118493"/>
                  <c:y val="0.00365062195781507"/>
                </c:manualLayout>
              </c:layout>
              <c:numFmt formatCode="[$$-1009]#,##0;[RED]\-[$$-1009]#,##0" sourceLinked="0"/>
              <c:txPr>
                <a:bodyPr wrap="none"/>
                <a:lstStyle/>
                <a:p>
                  <a:pPr>
                    <a:defRPr sz="1100" b="0" u="none" strike="noStrike">
                      <a:solidFill>
                        <a:srgbClr val="666666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Main!$D$282:$F$282</c:f>
              <c:numCache>
                <c:formatCode>#,##0</c:formatCode>
                <c:ptCount val="3"/>
                <c:pt idx="0">
                  <c:v>20531791</c:v>
                </c:pt>
                <c:pt idx="1">
                  <c:v>37953373</c:v>
                </c:pt>
                <c:pt idx="2">
                  <c:v>48480872.34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298524"/>
        <c:axId val="30259901"/>
      </c:lineChart>
      <c:catAx>
        <c:axId val="172985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30259901"/>
        <c:crosses val="autoZero"/>
        <c:auto val="1"/>
        <c:lblAlgn val="ctr"/>
        <c:lblOffset val="100"/>
        <c:noMultiLvlLbl val="0"/>
      </c:catAx>
      <c:valAx>
        <c:axId val="30259901"/>
        <c:scaling>
          <c:orientation val="minMax"/>
        </c:scaling>
        <c:delete val="0"/>
        <c:axPos val="l"/>
        <c:numFmt formatCode="\$0,,\M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1729852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400" b="1" u="none" strike="noStrike">
                <a:solidFill>
                  <a:srgbClr val="808080"/>
                </a:solidFill>
                <a:uFillTx/>
                <a:latin typeface="Arial"/>
                <a:ea typeface="DejaVu Sans"/>
              </a:rPr>
              <a:t>Costs as % Budgeted</a:t>
            </a:r>
          </a:p>
        </c:rich>
      </c:tx>
      <c:layout>
        <c:manualLayout>
          <c:xMode val="edge"/>
          <c:yMode val="edge"/>
          <c:x val="0.00594474880522205"/>
          <c:y val="0.0040961223375204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65438862338"/>
          <c:y val="0.130666302566903"/>
          <c:w val="0.465555426040331"/>
          <c:h val="0.408793009284544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808080"/>
            </a:solidFill>
            <a:ln w="28800">
              <a:solidFill>
                <a:srgbClr val="808080"/>
              </a:solidFill>
              <a:prstDash val="sysDot"/>
              <a:round/>
            </a:ln>
          </c:spPr>
          <c:marker>
            <c:symbol val="none"/>
          </c:marker>
          <c:dPt>
            <c:idx val="2"/>
            <c:marker>
              <c:symbol val="none"/>
            </c:marker>
          </c:dPt>
          <c:dLbls>
            <c:dLbl>
              <c:idx val="2"/>
              <c:numFmt formatCode="0.00%" sourceLinked="0"/>
              <c:txPr>
                <a:bodyPr wrap="none"/>
                <a:lstStyle/>
                <a:p>
                  <a:pPr>
                    <a:defRPr sz="800" b="0" u="none" strike="noStrike">
                      <a:solidFill>
                        <a:srgbClr val="999999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  <a:prstDash val="sysDot"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Main!$D$304:$F$304</c:f>
              <c:numCache>
                <c:formatCode>0.00%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Main!$A$293</c:f>
              <c:strCache>
                <c:ptCount val="1"/>
                <c:pt idx="0">
                  <c:v>Nursing</c:v>
                </c:pt>
              </c:strCache>
            </c:strRef>
          </c:tx>
          <c:spPr>
            <a:solidFill>
              <a:srgbClr val="158466">
                <a:alpha val="60000"/>
              </a:srgbClr>
            </a:solidFill>
            <a:ln w="72000">
              <a:solidFill>
                <a:srgbClr val="158466">
                  <a:alpha val="60000"/>
                </a:srgbClr>
              </a:solidFill>
              <a:round/>
            </a:ln>
          </c:spPr>
          <c:marker>
            <c:symbol val="circle"/>
            <c:size val="10"/>
            <c:spPr>
              <a:solidFill>
                <a:srgbClr val="158466"/>
              </a:solidFill>
            </c:spPr>
          </c:marker>
          <c:dPt>
            <c:idx val="2"/>
            <c:marker>
              <c:symbol val="circle"/>
              <c:size val="10"/>
              <c:spPr>
                <a:solidFill>
                  <a:srgbClr val="158466"/>
                </a:solidFill>
              </c:spPr>
            </c:marker>
          </c:dPt>
          <c:dLbls>
            <c:dLbl>
              <c:idx val="2"/>
              <c:numFmt formatCode="0.00%" sourceLinked="0"/>
              <c:txPr>
                <a:bodyPr wrap="none"/>
                <a:lstStyle/>
                <a:p>
                  <a:pPr>
                    <a:defRPr sz="1100" b="0" u="none" strike="noStrike">
                      <a:solidFill>
                        <a:srgbClr val="666666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720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Main!$D$293:$F$293</c:f>
              <c:numCache>
                <c:formatCode>0.00%</c:formatCode>
                <c:ptCount val="3"/>
                <c:pt idx="0">
                  <c:v>0.976521533251439</c:v>
                </c:pt>
                <c:pt idx="1">
                  <c:v>1.23752156014417</c:v>
                </c:pt>
                <c:pt idx="2">
                  <c:v>1.26763494896867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1992034"/>
        <c:axId val="63632924"/>
      </c:lineChart>
      <c:catAx>
        <c:axId val="3199203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63632924"/>
        <c:crosses val="autoZero"/>
        <c:auto val="1"/>
        <c:lblAlgn val="ctr"/>
        <c:lblOffset val="100"/>
        <c:noMultiLvlLbl val="0"/>
      </c:catAx>
      <c:valAx>
        <c:axId val="63632924"/>
        <c:scaling>
          <c:orientation val="minMax"/>
          <c:max val="1.6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31992034"/>
        <c:crosses val="autoZero"/>
        <c:crossBetween val="between"/>
        <c:majorUnit val="0.2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93253610108303"/>
          <c:y val="0.0669366872735025"/>
          <c:w val="0.733190433212996"/>
          <c:h val="0.85253677254316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Main!$A$28</c:f>
              <c:strCache>
                <c:ptCount val="1"/>
                <c:pt idx="0">
                  <c:v>Family Physician </c:v>
                </c:pt>
              </c:strCache>
            </c:strRef>
          </c:tx>
          <c:spPr>
            <a:solidFill>
              <a:srgbClr val="2A6099">
                <a:alpha val="8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2A6099">
                  <a:alpha val="8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Main!$D$28:$AW$28</c:f>
              <c:numCache>
                <c:formatCode>#,##0</c:formatCode>
                <c:ptCount val="43"/>
                <c:pt idx="0">
                  <c:v>7184</c:v>
                </c:pt>
                <c:pt idx="1">
                  <c:v>4907</c:v>
                </c:pt>
                <c:pt idx="2">
                  <c:v>7333</c:v>
                </c:pt>
                <c:pt idx="3">
                  <c:v>6901</c:v>
                </c:pt>
                <c:pt idx="4">
                  <c:v>7655</c:v>
                </c:pt>
                <c:pt idx="5">
                  <c:v>21587</c:v>
                </c:pt>
                <c:pt idx="6">
                  <c:v>18582</c:v>
                </c:pt>
                <c:pt idx="7">
                  <c:v>2691</c:v>
                </c:pt>
                <c:pt idx="8">
                  <c:v>2114</c:v>
                </c:pt>
                <c:pt idx="9">
                  <c:v>562</c:v>
                </c:pt>
                <c:pt idx="11">
                  <c:v>24462</c:v>
                </c:pt>
                <c:pt idx="12">
                  <c:v>2905</c:v>
                </c:pt>
                <c:pt idx="13">
                  <c:v>28188</c:v>
                </c:pt>
                <c:pt idx="14">
                  <c:v>368</c:v>
                </c:pt>
                <c:pt idx="15">
                  <c:v>9717</c:v>
                </c:pt>
                <c:pt idx="16">
                  <c:v>5370</c:v>
                </c:pt>
                <c:pt idx="17">
                  <c:v>3862</c:v>
                </c:pt>
                <c:pt idx="18">
                  <c:v>8373</c:v>
                </c:pt>
                <c:pt idx="19">
                  <c:v>8057</c:v>
                </c:pt>
                <c:pt idx="20">
                  <c:v>1655</c:v>
                </c:pt>
                <c:pt idx="22">
                  <c:v>4650</c:v>
                </c:pt>
                <c:pt idx="23">
                  <c:v>21986</c:v>
                </c:pt>
                <c:pt idx="25">
                  <c:v>5679</c:v>
                </c:pt>
                <c:pt idx="26">
                  <c:v>13189</c:v>
                </c:pt>
                <c:pt idx="27">
                  <c:v>12688</c:v>
                </c:pt>
                <c:pt idx="28">
                  <c:v>14563</c:v>
                </c:pt>
                <c:pt idx="29">
                  <c:v>22017</c:v>
                </c:pt>
                <c:pt idx="30">
                  <c:v>13332</c:v>
                </c:pt>
                <c:pt idx="31">
                  <c:v>12000</c:v>
                </c:pt>
                <c:pt idx="33">
                  <c:v>12465</c:v>
                </c:pt>
                <c:pt idx="34">
                  <c:v>16027</c:v>
                </c:pt>
                <c:pt idx="35">
                  <c:v>12931</c:v>
                </c:pt>
                <c:pt idx="36">
                  <c:v>40056</c:v>
                </c:pt>
                <c:pt idx="37">
                  <c:v>10495</c:v>
                </c:pt>
                <c:pt idx="38">
                  <c:v>7986</c:v>
                </c:pt>
                <c:pt idx="39">
                  <c:v>17289</c:v>
                </c:pt>
                <c:pt idx="40">
                  <c:v>12075</c:v>
                </c:pt>
                <c:pt idx="41">
                  <c:v>2413</c:v>
                </c:pt>
                <c:pt idx="42">
                  <c:v>1858</c:v>
                </c:pt>
              </c:numCache>
            </c:numRef>
          </c:val>
        </c:ser>
        <c:ser>
          <c:idx val="1"/>
          <c:order val="1"/>
          <c:tx>
            <c:strRef>
              <c:f>Main!$A$29</c:f>
              <c:strCache>
                <c:ptCount val="1"/>
                <c:pt idx="0">
                  <c:v>Nurse Practitioner</c:v>
                </c:pt>
              </c:strCache>
            </c:strRef>
          </c:tx>
          <c:spPr>
            <a:solidFill>
              <a:srgbClr val="2A6099">
                <a:alpha val="7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Main!$D$29:$AW$29</c:f>
              <c:numCache>
                <c:formatCode>#,##0</c:formatCode>
                <c:ptCount val="43"/>
                <c:pt idx="0">
                  <c:v>5244</c:v>
                </c:pt>
                <c:pt idx="1">
                  <c:v>0</c:v>
                </c:pt>
                <c:pt idx="2">
                  <c:v>446</c:v>
                </c:pt>
                <c:pt idx="3">
                  <c:v>7357</c:v>
                </c:pt>
                <c:pt idx="4">
                  <c:v>4654</c:v>
                </c:pt>
                <c:pt idx="5">
                  <c:v>6323</c:v>
                </c:pt>
                <c:pt idx="6">
                  <c:v>8450</c:v>
                </c:pt>
                <c:pt idx="7">
                  <c:v>565</c:v>
                </c:pt>
                <c:pt idx="8">
                  <c:v>1442</c:v>
                </c:pt>
                <c:pt idx="9">
                  <c:v>4626</c:v>
                </c:pt>
                <c:pt idx="11">
                  <c:v>523</c:v>
                </c:pt>
                <c:pt idx="12">
                  <c:v>5240</c:v>
                </c:pt>
                <c:pt idx="13">
                  <c:v>8524</c:v>
                </c:pt>
                <c:pt idx="14">
                  <c:v>632</c:v>
                </c:pt>
                <c:pt idx="15">
                  <c:v>7708</c:v>
                </c:pt>
                <c:pt idx="16">
                  <c:v>4386</c:v>
                </c:pt>
                <c:pt idx="17">
                  <c:v>4836</c:v>
                </c:pt>
                <c:pt idx="18">
                  <c:v>238</c:v>
                </c:pt>
                <c:pt idx="19">
                  <c:v>10615</c:v>
                </c:pt>
                <c:pt idx="20">
                  <c:v>794</c:v>
                </c:pt>
                <c:pt idx="22">
                  <c:v>722</c:v>
                </c:pt>
                <c:pt idx="23">
                  <c:v>5</c:v>
                </c:pt>
                <c:pt idx="25">
                  <c:v>3522</c:v>
                </c:pt>
                <c:pt idx="26">
                  <c:v>10183</c:v>
                </c:pt>
                <c:pt idx="27">
                  <c:v>6197</c:v>
                </c:pt>
                <c:pt idx="28">
                  <c:v>9401</c:v>
                </c:pt>
                <c:pt idx="29">
                  <c:v>11563</c:v>
                </c:pt>
                <c:pt idx="30">
                  <c:v>10151</c:v>
                </c:pt>
                <c:pt idx="31">
                  <c:v>5829</c:v>
                </c:pt>
                <c:pt idx="33">
                  <c:v>1453</c:v>
                </c:pt>
                <c:pt idx="34">
                  <c:v>610</c:v>
                </c:pt>
                <c:pt idx="35">
                  <c:v>0</c:v>
                </c:pt>
                <c:pt idx="36">
                  <c:v>0</c:v>
                </c:pt>
                <c:pt idx="37">
                  <c:v>1667</c:v>
                </c:pt>
                <c:pt idx="38">
                  <c:v>1369</c:v>
                </c:pt>
                <c:pt idx="39">
                  <c:v>13291</c:v>
                </c:pt>
                <c:pt idx="40">
                  <c:v>511</c:v>
                </c:pt>
                <c:pt idx="41">
                  <c:v>729</c:v>
                </c:pt>
                <c:pt idx="42">
                  <c:v>639</c:v>
                </c:pt>
              </c:numCache>
            </c:numRef>
          </c:val>
        </c:ser>
        <c:ser>
          <c:idx val="2"/>
          <c:order val="2"/>
          <c:tx>
            <c:strRef>
              <c:f>Main!$A$30</c:f>
              <c:strCache>
                <c:ptCount val="1"/>
                <c:pt idx="0">
                  <c:v>Registered Nurse</c:v>
                </c:pt>
              </c:strCache>
            </c:strRef>
          </c:tx>
          <c:spPr>
            <a:solidFill>
              <a:srgbClr val="158466">
                <a:alpha val="8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158466">
                  <a:alpha val="8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Main!$D$30:$AW$30</c:f>
              <c:numCache>
                <c:formatCode>#,##0</c:formatCode>
                <c:ptCount val="43"/>
                <c:pt idx="0">
                  <c:v>29827</c:v>
                </c:pt>
                <c:pt idx="1">
                  <c:v>10949</c:v>
                </c:pt>
                <c:pt idx="2">
                  <c:v>24838</c:v>
                </c:pt>
                <c:pt idx="3">
                  <c:v>30027</c:v>
                </c:pt>
                <c:pt idx="4">
                  <c:v>17167</c:v>
                </c:pt>
                <c:pt idx="5">
                  <c:v>46837</c:v>
                </c:pt>
                <c:pt idx="6">
                  <c:v>41353</c:v>
                </c:pt>
                <c:pt idx="7">
                  <c:v>12210</c:v>
                </c:pt>
                <c:pt idx="8">
                  <c:v>7032</c:v>
                </c:pt>
                <c:pt idx="9">
                  <c:v>9432</c:v>
                </c:pt>
                <c:pt idx="11">
                  <c:v>16973</c:v>
                </c:pt>
                <c:pt idx="12">
                  <c:v>16108</c:v>
                </c:pt>
                <c:pt idx="13">
                  <c:v>42747</c:v>
                </c:pt>
                <c:pt idx="14">
                  <c:v>4294</c:v>
                </c:pt>
                <c:pt idx="15">
                  <c:v>22419</c:v>
                </c:pt>
                <c:pt idx="16">
                  <c:v>9391</c:v>
                </c:pt>
                <c:pt idx="17">
                  <c:v>13998</c:v>
                </c:pt>
                <c:pt idx="18">
                  <c:v>10329</c:v>
                </c:pt>
                <c:pt idx="19">
                  <c:v>17145</c:v>
                </c:pt>
                <c:pt idx="20">
                  <c:v>6132</c:v>
                </c:pt>
                <c:pt idx="22">
                  <c:v>67</c:v>
                </c:pt>
                <c:pt idx="23">
                  <c:v>8234</c:v>
                </c:pt>
                <c:pt idx="25">
                  <c:v>17815</c:v>
                </c:pt>
                <c:pt idx="26">
                  <c:v>36820</c:v>
                </c:pt>
                <c:pt idx="27">
                  <c:v>20040</c:v>
                </c:pt>
                <c:pt idx="28">
                  <c:v>43325</c:v>
                </c:pt>
                <c:pt idx="29">
                  <c:v>76048</c:v>
                </c:pt>
                <c:pt idx="30">
                  <c:v>45328</c:v>
                </c:pt>
                <c:pt idx="31">
                  <c:v>35197</c:v>
                </c:pt>
                <c:pt idx="33">
                  <c:v>13972</c:v>
                </c:pt>
                <c:pt idx="34">
                  <c:v>5707</c:v>
                </c:pt>
                <c:pt idx="35">
                  <c:v>12042</c:v>
                </c:pt>
                <c:pt idx="36">
                  <c:v>26472</c:v>
                </c:pt>
                <c:pt idx="37">
                  <c:v>11496</c:v>
                </c:pt>
                <c:pt idx="38">
                  <c:v>12037</c:v>
                </c:pt>
                <c:pt idx="39">
                  <c:v>12523</c:v>
                </c:pt>
                <c:pt idx="40">
                  <c:v>6554</c:v>
                </c:pt>
                <c:pt idx="41">
                  <c:v>908</c:v>
                </c:pt>
                <c:pt idx="42">
                  <c:v>1703</c:v>
                </c:pt>
              </c:numCache>
            </c:numRef>
          </c:val>
        </c:ser>
        <c:ser>
          <c:idx val="3"/>
          <c:order val="3"/>
          <c:tx>
            <c:strRef>
              <c:f>Main!$A$31</c:f>
              <c:strCache>
                <c:ptCount val="1"/>
                <c:pt idx="0">
                  <c:v>Licensed Practical Nurse</c:v>
                </c:pt>
              </c:strCache>
            </c:strRef>
          </c:tx>
          <c:spPr>
            <a:solidFill>
              <a:srgbClr val="158466">
                <a:alpha val="7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Main!$D$31:$AW$31</c:f>
              <c:numCache>
                <c:formatCode>#,##0</c:formatCode>
                <c:ptCount val="43"/>
                <c:pt idx="0">
                  <c:v>3444</c:v>
                </c:pt>
                <c:pt idx="1">
                  <c:v>0</c:v>
                </c:pt>
                <c:pt idx="2">
                  <c:v>2496</c:v>
                </c:pt>
                <c:pt idx="3">
                  <c:v>10017</c:v>
                </c:pt>
                <c:pt idx="4">
                  <c:v>3755</c:v>
                </c:pt>
                <c:pt idx="5">
                  <c:v>14112</c:v>
                </c:pt>
                <c:pt idx="6">
                  <c:v>5284</c:v>
                </c:pt>
                <c:pt idx="7">
                  <c:v>0</c:v>
                </c:pt>
                <c:pt idx="8">
                  <c:v>1901</c:v>
                </c:pt>
                <c:pt idx="9">
                  <c:v>4577</c:v>
                </c:pt>
                <c:pt idx="11">
                  <c:v>1629</c:v>
                </c:pt>
                <c:pt idx="12">
                  <c:v>363</c:v>
                </c:pt>
                <c:pt idx="13">
                  <c:v>2015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341</c:v>
                </c:pt>
                <c:pt idx="22">
                  <c:v>131</c:v>
                </c:pt>
                <c:pt idx="23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12494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</c:ser>
        <c:ser>
          <c:idx val="4"/>
          <c:order val="4"/>
          <c:tx>
            <c:strRef>
              <c:f>Main!$A$32</c:f>
              <c:strCache>
                <c:ptCount val="1"/>
                <c:pt idx="0">
                  <c:v>Allied Health</c:v>
                </c:pt>
              </c:strCache>
            </c:strRef>
          </c:tx>
          <c:spPr>
            <a:solidFill>
              <a:srgbClr val="6B5E9B">
                <a:alpha val="8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Main!$D$32:$AW$32</c:f>
              <c:numCache>
                <c:formatCode>#,##0</c:formatCode>
                <c:ptCount val="43"/>
                <c:pt idx="0">
                  <c:v>1536</c:v>
                </c:pt>
                <c:pt idx="1">
                  <c:v>1847</c:v>
                </c:pt>
                <c:pt idx="2">
                  <c:v>165</c:v>
                </c:pt>
                <c:pt idx="3">
                  <c:v>993</c:v>
                </c:pt>
                <c:pt idx="4">
                  <c:v>1760</c:v>
                </c:pt>
                <c:pt idx="5">
                  <c:v>2388</c:v>
                </c:pt>
                <c:pt idx="6">
                  <c:v>1659</c:v>
                </c:pt>
                <c:pt idx="7">
                  <c:v>0</c:v>
                </c:pt>
                <c:pt idx="8">
                  <c:v>0</c:v>
                </c:pt>
                <c:pt idx="9">
                  <c:v>623</c:v>
                </c:pt>
                <c:pt idx="11">
                  <c:v>3825</c:v>
                </c:pt>
                <c:pt idx="12">
                  <c:v>2356</c:v>
                </c:pt>
                <c:pt idx="13">
                  <c:v>10304</c:v>
                </c:pt>
                <c:pt idx="14">
                  <c:v>2520</c:v>
                </c:pt>
                <c:pt idx="15">
                  <c:v>5682</c:v>
                </c:pt>
                <c:pt idx="16">
                  <c:v>3431</c:v>
                </c:pt>
                <c:pt idx="17">
                  <c:v>4268</c:v>
                </c:pt>
                <c:pt idx="18">
                  <c:v>8</c:v>
                </c:pt>
                <c:pt idx="19">
                  <c:v>2928</c:v>
                </c:pt>
                <c:pt idx="20">
                  <c:v>247</c:v>
                </c:pt>
                <c:pt idx="22">
                  <c:v>624</c:v>
                </c:pt>
                <c:pt idx="23">
                  <c:v>0</c:v>
                </c:pt>
                <c:pt idx="25">
                  <c:v>0</c:v>
                </c:pt>
                <c:pt idx="26">
                  <c:v>486</c:v>
                </c:pt>
                <c:pt idx="27">
                  <c:v>2373</c:v>
                </c:pt>
                <c:pt idx="28">
                  <c:v>1747</c:v>
                </c:pt>
                <c:pt idx="29">
                  <c:v>2630</c:v>
                </c:pt>
                <c:pt idx="30">
                  <c:v>580</c:v>
                </c:pt>
                <c:pt idx="31">
                  <c:v>993</c:v>
                </c:pt>
                <c:pt idx="33">
                  <c:v>1444</c:v>
                </c:pt>
                <c:pt idx="34">
                  <c:v>3334</c:v>
                </c:pt>
                <c:pt idx="35">
                  <c:v>646</c:v>
                </c:pt>
                <c:pt idx="36">
                  <c:v>3390</c:v>
                </c:pt>
                <c:pt idx="37">
                  <c:v>1345</c:v>
                </c:pt>
                <c:pt idx="38">
                  <c:v>2328</c:v>
                </c:pt>
                <c:pt idx="39">
                  <c:v>2345</c:v>
                </c:pt>
                <c:pt idx="40">
                  <c:v>1363</c:v>
                </c:pt>
                <c:pt idx="41">
                  <c:v>0</c:v>
                </c:pt>
                <c:pt idx="42">
                  <c:v>29</c:v>
                </c:pt>
              </c:numCache>
            </c:numRef>
          </c:val>
        </c:ser>
        <c:gapWidth val="20"/>
        <c:overlap val="100"/>
        <c:axId val="12844868"/>
        <c:axId val="37969573"/>
      </c:barChart>
      <c:catAx>
        <c:axId val="1284486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37969573"/>
        <c:crosses val="autoZero"/>
        <c:auto val="1"/>
        <c:lblAlgn val="ctr"/>
        <c:lblOffset val="100"/>
        <c:noMultiLvlLbl val="0"/>
      </c:catAx>
      <c:valAx>
        <c:axId val="37969573"/>
        <c:scaling>
          <c:orientation val="minMax"/>
          <c:max val="125000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12844868"/>
        <c:crosses val="autoZero"/>
        <c:crossBetween val="midCat"/>
        <c:majorUnit val="25000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690337864515765"/>
          <c:y val="0.782200905941913"/>
          <c:w val="0.231328971119134"/>
          <c:h val="0.130515881475165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0" u="none" strike="noStrike">
              <a:solidFill>
                <a:srgbClr val="808080"/>
              </a:solidFill>
              <a:uFillTx/>
              <a:latin typeface="Arial"/>
              <a:ea typeface="DejaVu Sans"/>
            </a:defRPr>
          </a:pPr>
        </a:p>
      </c:txPr>
    </c:legend>
    <c:plotVisOnly val="1"/>
    <c:dispBlanksAs val="gap"/>
  </c:chart>
  <c:spPr>
    <a:noFill/>
    <a:ln w="0">
      <a:noFill/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321817499061209"/>
          <c:y val="0.0911672395755492"/>
          <c:w val="0.469207660533233"/>
          <c:h val="0.79694116474866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Main!$A$229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1584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158466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1584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9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Main!$D$229:$AW$229</c:f>
              <c:numCache>
                <c:formatCode>General</c:formatCode>
                <c:ptCount val="43"/>
              </c:numCache>
            </c:numRef>
          </c:val>
        </c:ser>
        <c:ser>
          <c:idx val="1"/>
          <c:order val="1"/>
          <c:tx>
            <c:strRef>
              <c:f>Main!$A$228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2A6099">
                <a:alpha val="2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2A6099">
                  <a:alpha val="2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Main!$D$228:$AW$228</c:f>
              <c:numCache>
                <c:formatCode>General</c:formatCode>
                <c:ptCount val="43"/>
              </c:numCache>
            </c:numRef>
          </c:val>
        </c:ser>
        <c:ser>
          <c:idx val="2"/>
          <c:order val="2"/>
          <c:tx>
            <c:strRef>
              <c:f>Main!$A$230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6B5E9B">
                <a:alpha val="2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Main!$D$230:$AW$230</c:f>
              <c:numCache>
                <c:formatCode>General</c:formatCode>
                <c:ptCount val="43"/>
              </c:numCache>
            </c:numRef>
          </c:val>
        </c:ser>
        <c:ser>
          <c:idx val="3"/>
          <c:order val="3"/>
          <c:tx>
            <c:strRef>
              <c:f>Main!$A$231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00">
                <a:alpha val="2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Main!$D$231:$AW$231</c:f>
              <c:numCache>
                <c:formatCode>General</c:formatCode>
                <c:ptCount val="43"/>
              </c:numCache>
            </c:numRef>
          </c:val>
        </c:ser>
        <c:gapWidth val="20"/>
        <c:overlap val="100"/>
        <c:axId val="62384712"/>
        <c:axId val="37617341"/>
      </c:barChart>
      <c:catAx>
        <c:axId val="6238471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37617341"/>
        <c:crosses val="autoZero"/>
        <c:auto val="1"/>
        <c:lblAlgn val="ctr"/>
        <c:lblOffset val="100"/>
        <c:noMultiLvlLbl val="0"/>
      </c:catAx>
      <c:valAx>
        <c:axId val="37617341"/>
        <c:scaling>
          <c:orientation val="minMax"/>
        </c:scaling>
        <c:delete val="0"/>
        <c:axPos val="l"/>
        <c:numFmt formatCode="[$-1009]0%" sourceLinked="0"/>
        <c:majorTickMark val="out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62384712"/>
        <c:crosses val="autoZero"/>
        <c:crossBetween val="midCat"/>
        <c:majorUnit val="0.25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318029700899393"/>
          <c:y val="0.0709923265647022"/>
          <c:w val="0.522589416440075"/>
          <c:h val="0.8349950409771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Main!$C$14</c:f>
              <c:strCache>
                <c:ptCount val="1"/>
                <c:pt idx="0">
                  <c:v>$ Budgeted</c:v>
                </c:pt>
              </c:strCache>
            </c:strRef>
          </c:tx>
          <c:spPr>
            <a:solidFill>
              <a:srgbClr val="158466">
                <a:alpha val="3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158466">
                  <a:alpha val="3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Main!$D$14:$AW$14</c:f>
              <c:numCache>
                <c:formatCode>#,##0</c:formatCode>
                <c:ptCount val="43"/>
                <c:pt idx="0">
                  <c:v>1407497.01</c:v>
                </c:pt>
                <c:pt idx="1">
                  <c:v>459567.57</c:v>
                </c:pt>
                <c:pt idx="2">
                  <c:v>1144430</c:v>
                </c:pt>
                <c:pt idx="3">
                  <c:v>691007.24</c:v>
                </c:pt>
                <c:pt idx="4">
                  <c:v>691252.61</c:v>
                </c:pt>
                <c:pt idx="5">
                  <c:v>941770.81</c:v>
                </c:pt>
                <c:pt idx="6">
                  <c:v>1381171.17</c:v>
                </c:pt>
                <c:pt idx="7">
                  <c:v>535840</c:v>
                </c:pt>
                <c:pt idx="8">
                  <c:v>624150</c:v>
                </c:pt>
                <c:pt idx="9">
                  <c:v>1385050</c:v>
                </c:pt>
                <c:pt idx="11">
                  <c:v>493126.09</c:v>
                </c:pt>
                <c:pt idx="12">
                  <c:v>920122.97</c:v>
                </c:pt>
                <c:pt idx="13">
                  <c:v>1071227.29</c:v>
                </c:pt>
                <c:pt idx="14">
                  <c:v>373278.26</c:v>
                </c:pt>
                <c:pt idx="15">
                  <c:v>965799.85</c:v>
                </c:pt>
                <c:pt idx="16">
                  <c:v>681271.5</c:v>
                </c:pt>
                <c:pt idx="17">
                  <c:v>948152</c:v>
                </c:pt>
                <c:pt idx="18">
                  <c:v>763462</c:v>
                </c:pt>
                <c:pt idx="19">
                  <c:v>1717272</c:v>
                </c:pt>
                <c:pt idx="20">
                  <c:v>1379000</c:v>
                </c:pt>
                <c:pt idx="22">
                  <c:v>155084.55</c:v>
                </c:pt>
                <c:pt idx="23">
                  <c:v>503778</c:v>
                </c:pt>
                <c:pt idx="25">
                  <c:v>1039329.09</c:v>
                </c:pt>
                <c:pt idx="26">
                  <c:v>778466</c:v>
                </c:pt>
                <c:pt idx="28">
                  <c:v>1508850</c:v>
                </c:pt>
                <c:pt idx="29">
                  <c:v>1861800</c:v>
                </c:pt>
                <c:pt idx="30">
                  <c:v>1534590</c:v>
                </c:pt>
                <c:pt idx="31">
                  <c:v>2226311.68</c:v>
                </c:pt>
                <c:pt idx="33">
                  <c:v>902404.49</c:v>
                </c:pt>
                <c:pt idx="34">
                  <c:v>274479.19</c:v>
                </c:pt>
                <c:pt idx="35">
                  <c:v>1004460.71</c:v>
                </c:pt>
                <c:pt idx="36">
                  <c:v>1716180.99</c:v>
                </c:pt>
                <c:pt idx="37">
                  <c:v>956611.62</c:v>
                </c:pt>
                <c:pt idx="38">
                  <c:v>1046069.59</c:v>
                </c:pt>
                <c:pt idx="39">
                  <c:v>1198186.85</c:v>
                </c:pt>
                <c:pt idx="40">
                  <c:v>655040</c:v>
                </c:pt>
                <c:pt idx="41">
                  <c:v>221440</c:v>
                </c:pt>
                <c:pt idx="42">
                  <c:v>233745.53</c:v>
                </c:pt>
              </c:numCache>
            </c:numRef>
          </c:val>
        </c:ser>
        <c:ser>
          <c:idx val="1"/>
          <c:order val="1"/>
          <c:tx>
            <c:strRef>
              <c:f>Main!$C$15</c:f>
              <c:strCache>
                <c:ptCount val="1"/>
                <c:pt idx="0">
                  <c:v>$ Actual</c:v>
                </c:pt>
              </c:strCache>
            </c:strRef>
          </c:tx>
          <c:spPr>
            <a:solidFill>
              <a:srgbClr val="1584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Main!$D$15:$AW$15</c:f>
              <c:numCache>
                <c:formatCode>#,##0</c:formatCode>
                <c:ptCount val="43"/>
                <c:pt idx="0">
                  <c:v>1665721.04</c:v>
                </c:pt>
                <c:pt idx="1">
                  <c:v>875828.35</c:v>
                </c:pt>
                <c:pt idx="2">
                  <c:v>1367764.11</c:v>
                </c:pt>
                <c:pt idx="3">
                  <c:v>1136683</c:v>
                </c:pt>
                <c:pt idx="4">
                  <c:v>1221795.63</c:v>
                </c:pt>
                <c:pt idx="5">
                  <c:v>1328645.62</c:v>
                </c:pt>
                <c:pt idx="6">
                  <c:v>1872409.45</c:v>
                </c:pt>
                <c:pt idx="7">
                  <c:v>736632.87</c:v>
                </c:pt>
                <c:pt idx="8">
                  <c:v>776292.09</c:v>
                </c:pt>
                <c:pt idx="9">
                  <c:v>1569845.63</c:v>
                </c:pt>
                <c:pt idx="11">
                  <c:v>984926.41</c:v>
                </c:pt>
                <c:pt idx="12">
                  <c:v>1657580.73</c:v>
                </c:pt>
                <c:pt idx="13">
                  <c:v>1934968.53</c:v>
                </c:pt>
                <c:pt idx="14">
                  <c:v>720717.11</c:v>
                </c:pt>
                <c:pt idx="15">
                  <c:v>1426569.06</c:v>
                </c:pt>
                <c:pt idx="16">
                  <c:v>861891.04</c:v>
                </c:pt>
                <c:pt idx="17">
                  <c:v>1532673.19</c:v>
                </c:pt>
                <c:pt idx="18">
                  <c:v>1195804.54</c:v>
                </c:pt>
                <c:pt idx="19">
                  <c:v>2033558.15</c:v>
                </c:pt>
                <c:pt idx="20">
                  <c:v>727539.36</c:v>
                </c:pt>
                <c:pt idx="22">
                  <c:v>175453</c:v>
                </c:pt>
                <c:pt idx="23">
                  <c:v>656167</c:v>
                </c:pt>
                <c:pt idx="25">
                  <c:v>2028877</c:v>
                </c:pt>
                <c:pt idx="26">
                  <c:v>1459240</c:v>
                </c:pt>
                <c:pt idx="28">
                  <c:v>1704628</c:v>
                </c:pt>
                <c:pt idx="29">
                  <c:v>2555314</c:v>
                </c:pt>
                <c:pt idx="30">
                  <c:v>1674434</c:v>
                </c:pt>
                <c:pt idx="31">
                  <c:v>2185050</c:v>
                </c:pt>
                <c:pt idx="33">
                  <c:v>1061336</c:v>
                </c:pt>
                <c:pt idx="34">
                  <c:v>71434</c:v>
                </c:pt>
                <c:pt idx="35">
                  <c:v>1249601</c:v>
                </c:pt>
                <c:pt idx="36">
                  <c:v>2312172</c:v>
                </c:pt>
                <c:pt idx="37">
                  <c:v>1297969</c:v>
                </c:pt>
                <c:pt idx="38">
                  <c:v>1326879</c:v>
                </c:pt>
                <c:pt idx="39">
                  <c:v>1638035</c:v>
                </c:pt>
                <c:pt idx="40">
                  <c:v>723892</c:v>
                </c:pt>
                <c:pt idx="41">
                  <c:v>163146</c:v>
                </c:pt>
                <c:pt idx="42">
                  <c:v>347689</c:v>
                </c:pt>
              </c:numCache>
            </c:numRef>
          </c:val>
        </c:ser>
        <c:gapWidth val="50"/>
        <c:overlap val="0"/>
        <c:axId val="7642139"/>
        <c:axId val="72688974"/>
      </c:barChart>
      <c:catAx>
        <c:axId val="7642139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72688974"/>
        <c:crosses val="autoZero"/>
        <c:auto val="1"/>
        <c:lblAlgn val="ctr"/>
        <c:lblOffset val="100"/>
        <c:noMultiLvlLbl val="0"/>
      </c:catAx>
      <c:valAx>
        <c:axId val="72688974"/>
        <c:scaling>
          <c:orientation val="minMax"/>
          <c:max val="3000000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\$0,,\M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7642139"/>
        <c:crosses val="autoZero"/>
        <c:crossBetween val="midCat"/>
        <c:majorUnit val="1000000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232112290311537"/>
          <c:y val="0.0415565830030823"/>
          <c:w val="0.570352618966107"/>
          <c:h val="0.880504183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Main!$C$98</c:f>
              <c:strCache>
                <c:ptCount val="1"/>
                <c:pt idx="0">
                  <c:v>%Budgeted</c:v>
                </c:pt>
              </c:strCache>
            </c:strRef>
          </c:tx>
          <c:spPr>
            <a:solidFill>
              <a:srgbClr val="158466">
                <a:alpha val="5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158466">
                  <a:alpha val="50000"/>
                </a:srgbClr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158466">
                  <a:alpha val="50000"/>
                </a:srgbClr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158466">
                  <a:alpha val="50000"/>
                </a:srgbClr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158466">
                  <a:alpha val="50000"/>
                </a:srgbClr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158466">
                  <a:alpha val="50000"/>
                </a:srgbClr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158466">
                  <a:alpha val="50000"/>
                </a:srgbClr>
              </a:solidFill>
              <a:ln w="0">
                <a:noFill/>
              </a:ln>
            </c:spPr>
          </c:dPt>
          <c:dPt>
            <c:idx val="25"/>
            <c:invertIfNegative val="0"/>
            <c:spPr>
              <a:solidFill>
                <a:srgbClr val="158466">
                  <a:alpha val="50000"/>
                </a:srgbClr>
              </a:solidFill>
              <a:ln w="0">
                <a:noFill/>
              </a:ln>
            </c:spPr>
          </c:dPt>
          <c:dPt>
            <c:idx val="26"/>
            <c:invertIfNegative val="0"/>
            <c:spPr>
              <a:solidFill>
                <a:srgbClr val="158466">
                  <a:alpha val="50000"/>
                </a:srgbClr>
              </a:solidFill>
              <a:ln w="0">
                <a:noFill/>
              </a:ln>
            </c:spPr>
          </c:dPt>
          <c:dPt>
            <c:idx val="33"/>
            <c:invertIfNegative val="0"/>
            <c:spPr>
              <a:solidFill>
                <a:srgbClr val="158466">
                  <a:alpha val="50000"/>
                </a:srgbClr>
              </a:solidFill>
              <a:ln w="0">
                <a:noFill/>
              </a:ln>
            </c:spPr>
          </c:dPt>
          <c:dPt>
            <c:idx val="36"/>
            <c:invertIfNegative val="0"/>
            <c:spPr>
              <a:solidFill>
                <a:srgbClr val="158466">
                  <a:alpha val="50000"/>
                </a:srgbClr>
              </a:solidFill>
              <a:ln w="0">
                <a:noFill/>
              </a:ln>
            </c:spPr>
          </c:dPt>
          <c:dPt>
            <c:idx val="40"/>
            <c:invertIfNegative val="0"/>
            <c:spPr>
              <a:solidFill>
                <a:srgbClr val="158466">
                  <a:alpha val="50000"/>
                </a:srgbClr>
              </a:solidFill>
              <a:ln w="0">
                <a:noFill/>
              </a:ln>
            </c:spPr>
          </c:dPt>
          <c:dPt>
            <c:idx val="42"/>
            <c:invertIfNegative val="0"/>
            <c:spPr>
              <a:solidFill>
                <a:srgbClr val="158466">
                  <a:alpha val="5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8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9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5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6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3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6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0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2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900" b="0" u="none" strike="noStrike">
                    <a:solidFill>
                      <a:srgbClr val="80808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Main!$D$98:$AW$98</c:f>
              <c:numCache>
                <c:formatCode>0.00%</c:formatCode>
                <c:ptCount val="43"/>
                <c:pt idx="0">
                  <c:v>1.18346328849395</c:v>
                </c:pt>
                <c:pt idx="1">
                  <c:v>1.90576621844749</c:v>
                </c:pt>
                <c:pt idx="2">
                  <c:v>1.1951487727515</c:v>
                </c:pt>
                <c:pt idx="3">
                  <c:v>1.64496539862592</c:v>
                </c:pt>
                <c:pt idx="4">
                  <c:v>1.76750960839048</c:v>
                </c:pt>
                <c:pt idx="5">
                  <c:v>1.41079507444067</c:v>
                </c:pt>
                <c:pt idx="6">
                  <c:v>1.35566792202881</c:v>
                </c:pt>
                <c:pt idx="7">
                  <c:v>1.37472542176769</c:v>
                </c:pt>
                <c:pt idx="8">
                  <c:v>1.24375885604422</c:v>
                </c:pt>
                <c:pt idx="9">
                  <c:v>1.13342163098805</c:v>
                </c:pt>
                <c:pt idx="11">
                  <c:v>1.99731149897179</c:v>
                </c:pt>
                <c:pt idx="12">
                  <c:v>1.80147739383139</c:v>
                </c:pt>
                <c:pt idx="13">
                  <c:v>1.80630996620708</c:v>
                </c:pt>
                <c:pt idx="14">
                  <c:v>1.93077708302648</c:v>
                </c:pt>
                <c:pt idx="15">
                  <c:v>1.47708560940447</c:v>
                </c:pt>
                <c:pt idx="16">
                  <c:v>1.26512123287118</c:v>
                </c:pt>
                <c:pt idx="17">
                  <c:v>1.61648468810908</c:v>
                </c:pt>
                <c:pt idx="18">
                  <c:v>1.56629215337502</c:v>
                </c:pt>
                <c:pt idx="19">
                  <c:v>1.18417941362813</c:v>
                </c:pt>
                <c:pt idx="20">
                  <c:v>0.527584742567078</c:v>
                </c:pt>
                <c:pt idx="22">
                  <c:v>1.13133771223504</c:v>
                </c:pt>
                <c:pt idx="23">
                  <c:v>1.30249236766989</c:v>
                </c:pt>
                <c:pt idx="25">
                  <c:v>1.95210258186846</c:v>
                </c:pt>
                <c:pt idx="26">
                  <c:v>1.87450704333908</c:v>
                </c:pt>
                <c:pt idx="28">
                  <c:v>1.12975312323955</c:v>
                </c:pt>
                <c:pt idx="29">
                  <c:v>1.37249650875497</c:v>
                </c:pt>
                <c:pt idx="30">
                  <c:v>1.09112792341928</c:v>
                </c:pt>
                <c:pt idx="31">
                  <c:v>0.981466350659401</c:v>
                </c:pt>
                <c:pt idx="33">
                  <c:v>1.17612003459779</c:v>
                </c:pt>
                <c:pt idx="34">
                  <c:v>0.260252881101842</c:v>
                </c:pt>
                <c:pt idx="35">
                  <c:v>1.24405164638047</c:v>
                </c:pt>
                <c:pt idx="36">
                  <c:v>1.34727748033149</c:v>
                </c:pt>
                <c:pt idx="37">
                  <c:v>1.35684009357946</c:v>
                </c:pt>
                <c:pt idx="38">
                  <c:v>1.26844237963174</c:v>
                </c:pt>
                <c:pt idx="39">
                  <c:v>1.36709478993197</c:v>
                </c:pt>
                <c:pt idx="40">
                  <c:v>1.1051111382511</c:v>
                </c:pt>
                <c:pt idx="41">
                  <c:v>0.736750361271676</c:v>
                </c:pt>
                <c:pt idx="42">
                  <c:v>1.48746801703545</c:v>
                </c:pt>
              </c:numCache>
            </c:numRef>
          </c:val>
        </c:ser>
        <c:gapWidth val="20"/>
        <c:overlap val="0"/>
        <c:axId val="71073396"/>
        <c:axId val="12448700"/>
      </c:barChart>
      <c:catAx>
        <c:axId val="7107339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12448700"/>
        <c:crosses val="autoZero"/>
        <c:auto val="1"/>
        <c:lblAlgn val="ctr"/>
        <c:lblOffset val="100"/>
        <c:noMultiLvlLbl val="0"/>
      </c:catAx>
      <c:valAx>
        <c:axId val="12448700"/>
        <c:scaling>
          <c:orientation val="minMax"/>
          <c:max val="3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71073396"/>
        <c:crosses val="autoZero"/>
        <c:crossBetween val="midCat"/>
        <c:majorUnit val="1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317925120267726"/>
          <c:y val="0.0709401263245811"/>
          <c:w val="0.522484835808408"/>
          <c:h val="0.8349428407370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Main!$C$12</c:f>
              <c:strCache>
                <c:ptCount val="1"/>
                <c:pt idx="0">
                  <c:v>$ Budgeted</c:v>
                </c:pt>
              </c:strCache>
            </c:strRef>
          </c:tx>
          <c:spPr>
            <a:solidFill>
              <a:srgbClr val="2A6099">
                <a:alpha val="3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2A6099">
                  <a:alpha val="3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Main!$D$12:$AW$12</c:f>
              <c:numCache>
                <c:formatCode>#,##0</c:formatCode>
                <c:ptCount val="43"/>
                <c:pt idx="0">
                  <c:v>171733.99</c:v>
                </c:pt>
                <c:pt idx="3">
                  <c:v>842756.75</c:v>
                </c:pt>
                <c:pt idx="4">
                  <c:v>664595.74</c:v>
                </c:pt>
                <c:pt idx="5">
                  <c:v>836875</c:v>
                </c:pt>
                <c:pt idx="6">
                  <c:v>530400</c:v>
                </c:pt>
                <c:pt idx="8">
                  <c:v>161760</c:v>
                </c:pt>
                <c:pt idx="9">
                  <c:v>521400</c:v>
                </c:pt>
                <c:pt idx="11">
                  <c:v>320000</c:v>
                </c:pt>
                <c:pt idx="12">
                  <c:v>826900</c:v>
                </c:pt>
                <c:pt idx="13">
                  <c:v>403562.65</c:v>
                </c:pt>
                <c:pt idx="14">
                  <c:v>267400</c:v>
                </c:pt>
                <c:pt idx="15">
                  <c:v>480000</c:v>
                </c:pt>
                <c:pt idx="16">
                  <c:v>369489.12</c:v>
                </c:pt>
                <c:pt idx="17">
                  <c:v>528037.58</c:v>
                </c:pt>
                <c:pt idx="18">
                  <c:v>461882.55</c:v>
                </c:pt>
                <c:pt idx="19">
                  <c:v>1200420</c:v>
                </c:pt>
                <c:pt idx="20">
                  <c:v>951433.6</c:v>
                </c:pt>
                <c:pt idx="22">
                  <c:v>117804.9</c:v>
                </c:pt>
                <c:pt idx="23">
                  <c:v>158452</c:v>
                </c:pt>
                <c:pt idx="25">
                  <c:v>263163.45</c:v>
                </c:pt>
                <c:pt idx="26">
                  <c:v>223600</c:v>
                </c:pt>
                <c:pt idx="28">
                  <c:v>627600</c:v>
                </c:pt>
                <c:pt idx="29">
                  <c:v>795600</c:v>
                </c:pt>
                <c:pt idx="30">
                  <c:v>613530</c:v>
                </c:pt>
                <c:pt idx="31">
                  <c:v>1107761.8</c:v>
                </c:pt>
                <c:pt idx="33">
                  <c:v>244993.97</c:v>
                </c:pt>
                <c:pt idx="34">
                  <c:v>320000</c:v>
                </c:pt>
                <c:pt idx="35">
                  <c:v>39698.63</c:v>
                </c:pt>
                <c:pt idx="36">
                  <c:v>186616.99</c:v>
                </c:pt>
                <c:pt idx="37">
                  <c:v>153969.86</c:v>
                </c:pt>
                <c:pt idx="38">
                  <c:v>284789.59</c:v>
                </c:pt>
                <c:pt idx="39">
                  <c:v>621852.05</c:v>
                </c:pt>
                <c:pt idx="42">
                  <c:v>0</c:v>
                </c:pt>
              </c:numCache>
            </c:numRef>
          </c:val>
        </c:ser>
        <c:ser>
          <c:idx val="1"/>
          <c:order val="1"/>
          <c:tx>
            <c:strRef>
              <c:f>Main!$C$13</c:f>
              <c:strCache>
                <c:ptCount val="1"/>
                <c:pt idx="0">
                  <c:v>$ Actual</c:v>
                </c:pt>
              </c:strCache>
            </c:strRef>
          </c:tx>
          <c:spPr>
            <a:solidFill>
              <a:srgbClr val="2A6099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Main!$D$13:$AW$13</c:f>
              <c:numCache>
                <c:formatCode>#,##0</c:formatCode>
                <c:ptCount val="43"/>
                <c:pt idx="0">
                  <c:v>629036.65</c:v>
                </c:pt>
                <c:pt idx="3">
                  <c:v>902472.57</c:v>
                </c:pt>
                <c:pt idx="4">
                  <c:v>838326.04</c:v>
                </c:pt>
                <c:pt idx="5">
                  <c:v>855345.02</c:v>
                </c:pt>
                <c:pt idx="6">
                  <c:v>627387.57</c:v>
                </c:pt>
                <c:pt idx="8">
                  <c:v>106918.51</c:v>
                </c:pt>
                <c:pt idx="9">
                  <c:v>241501.52</c:v>
                </c:pt>
                <c:pt idx="11">
                  <c:v>48221.12</c:v>
                </c:pt>
                <c:pt idx="12">
                  <c:v>384465.83</c:v>
                </c:pt>
                <c:pt idx="13">
                  <c:v>402557.74</c:v>
                </c:pt>
                <c:pt idx="14">
                  <c:v>71012.61</c:v>
                </c:pt>
                <c:pt idx="15">
                  <c:v>506921.92</c:v>
                </c:pt>
                <c:pt idx="16">
                  <c:v>316993.66</c:v>
                </c:pt>
                <c:pt idx="17">
                  <c:v>365870.5</c:v>
                </c:pt>
                <c:pt idx="19">
                  <c:v>890174.48</c:v>
                </c:pt>
                <c:pt idx="20">
                  <c:v>139471.26</c:v>
                </c:pt>
                <c:pt idx="22">
                  <c:v>248866</c:v>
                </c:pt>
                <c:pt idx="25">
                  <c:v>863497</c:v>
                </c:pt>
                <c:pt idx="26">
                  <c:v>1003275</c:v>
                </c:pt>
                <c:pt idx="28">
                  <c:v>793767</c:v>
                </c:pt>
                <c:pt idx="29">
                  <c:v>1042985</c:v>
                </c:pt>
                <c:pt idx="30">
                  <c:v>973786</c:v>
                </c:pt>
                <c:pt idx="31">
                  <c:v>581010</c:v>
                </c:pt>
                <c:pt idx="33">
                  <c:v>178166</c:v>
                </c:pt>
                <c:pt idx="34">
                  <c:v>73984.34</c:v>
                </c:pt>
                <c:pt idx="37">
                  <c:v>157410.55</c:v>
                </c:pt>
                <c:pt idx="38">
                  <c:v>81594.07</c:v>
                </c:pt>
                <c:pt idx="39">
                  <c:v>769432.41</c:v>
                </c:pt>
                <c:pt idx="42">
                  <c:v>97778.63</c:v>
                </c:pt>
              </c:numCache>
            </c:numRef>
          </c:val>
        </c:ser>
        <c:gapWidth val="50"/>
        <c:overlap val="0"/>
        <c:axId val="62935239"/>
        <c:axId val="83414333"/>
      </c:barChart>
      <c:catAx>
        <c:axId val="62935239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83414333"/>
        <c:crosses val="autoZero"/>
        <c:auto val="1"/>
        <c:lblAlgn val="ctr"/>
        <c:lblOffset val="100"/>
        <c:noMultiLvlLbl val="0"/>
      </c:catAx>
      <c:valAx>
        <c:axId val="83414333"/>
        <c:scaling>
          <c:orientation val="minMax"/>
          <c:max val="3000000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\$0,,\M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62935239"/>
        <c:crosses val="autoZero"/>
        <c:crossBetween val="midCat"/>
        <c:majorUnit val="1000000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232112290311537"/>
          <c:y val="0.0415565830030823"/>
          <c:w val="0.570352618966107"/>
          <c:h val="0.880504183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Main!$C$96</c:f>
              <c:strCache>
                <c:ptCount val="1"/>
                <c:pt idx="0">
                  <c:v>%Budgeted</c:v>
                </c:pt>
              </c:strCache>
            </c:strRef>
          </c:tx>
          <c:spPr>
            <a:solidFill>
              <a:srgbClr val="2A6099">
                <a:alpha val="6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Pt>
            <c:idx val="25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Pt>
            <c:idx val="26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Pt>
            <c:idx val="33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Pt>
            <c:idx val="36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Pt>
            <c:idx val="40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Pt>
            <c:idx val="42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Lbls>
            <c:dLbl>
              <c:idx val="0"/>
              <c:numFmt formatCode="0%" sourceLinked="0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8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9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5"/>
              <c:numFmt formatCode="0%" sourceLinked="0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 </c:separator>
            </c:dLbl>
            <c:dLbl>
              <c:idx val="26"/>
              <c:numFmt formatCode="0%" sourceLinked="0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 </c:separator>
            </c:dLbl>
            <c:dLbl>
              <c:idx val="33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6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0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2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900" b="0" u="none" strike="noStrike">
                    <a:solidFill>
                      <a:srgbClr val="80808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Main!$D$96:$AW$96</c:f>
              <c:numCache>
                <c:formatCode>0.00%</c:formatCode>
                <c:ptCount val="43"/>
                <c:pt idx="0">
                  <c:v>3.66285468590114</c:v>
                </c:pt>
                <c:pt idx="3">
                  <c:v>1.07085771784088</c:v>
                </c:pt>
                <c:pt idx="4">
                  <c:v>1.26140748359296</c:v>
                </c:pt>
                <c:pt idx="5">
                  <c:v>1.02207022554145</c:v>
                </c:pt>
                <c:pt idx="6">
                  <c:v>1.18285740950226</c:v>
                </c:pt>
                <c:pt idx="8">
                  <c:v>0.660970017309595</c:v>
                </c:pt>
                <c:pt idx="9">
                  <c:v>0.463178979670119</c:v>
                </c:pt>
                <c:pt idx="11">
                  <c:v>0.150691</c:v>
                </c:pt>
                <c:pt idx="12">
                  <c:v>0.464948397629701</c:v>
                </c:pt>
                <c:pt idx="13">
                  <c:v>0.997509903357013</c:v>
                </c:pt>
                <c:pt idx="14">
                  <c:v>0.265566978309649</c:v>
                </c:pt>
                <c:pt idx="15">
                  <c:v>1.05608733333333</c:v>
                </c:pt>
                <c:pt idx="16">
                  <c:v>0.857924206266209</c:v>
                </c:pt>
                <c:pt idx="17">
                  <c:v>0.692887237306102</c:v>
                </c:pt>
                <c:pt idx="18">
                  <c:v>0</c:v>
                </c:pt>
                <c:pt idx="19">
                  <c:v>0.741552523283517</c:v>
                </c:pt>
                <c:pt idx="20">
                  <c:v>0.146590639641064</c:v>
                </c:pt>
                <c:pt idx="22">
                  <c:v>2.11252672851469</c:v>
                </c:pt>
                <c:pt idx="23">
                  <c:v>0</c:v>
                </c:pt>
                <c:pt idx="25">
                  <c:v>3.28121933345987</c:v>
                </c:pt>
                <c:pt idx="26">
                  <c:v>4.48691860465116</c:v>
                </c:pt>
                <c:pt idx="28">
                  <c:v>1.26476577437859</c:v>
                </c:pt>
                <c:pt idx="29">
                  <c:v>1.31094142785319</c:v>
                </c:pt>
                <c:pt idx="30">
                  <c:v>1.58718563069451</c:v>
                </c:pt>
                <c:pt idx="31">
                  <c:v>0.524490012202984</c:v>
                </c:pt>
                <c:pt idx="33">
                  <c:v>0.727226061931239</c:v>
                </c:pt>
                <c:pt idx="34">
                  <c:v>0.2312010625</c:v>
                </c:pt>
                <c:pt idx="35">
                  <c:v>0</c:v>
                </c:pt>
                <c:pt idx="36">
                  <c:v>0</c:v>
                </c:pt>
                <c:pt idx="37">
                  <c:v>1.02234651638964</c:v>
                </c:pt>
                <c:pt idx="38">
                  <c:v>0.286506504679472</c:v>
                </c:pt>
                <c:pt idx="39">
                  <c:v>1.2373239100844</c:v>
                </c:pt>
              </c:numCache>
            </c:numRef>
          </c:val>
        </c:ser>
        <c:gapWidth val="20"/>
        <c:overlap val="0"/>
        <c:axId val="50330271"/>
        <c:axId val="72767150"/>
      </c:barChart>
      <c:catAx>
        <c:axId val="50330271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72767150"/>
        <c:crosses val="autoZero"/>
        <c:auto val="1"/>
        <c:lblAlgn val="ctr"/>
        <c:lblOffset val="100"/>
        <c:noMultiLvlLbl val="0"/>
      </c:catAx>
      <c:valAx>
        <c:axId val="72767150"/>
        <c:scaling>
          <c:orientation val="minMax"/>
          <c:max val="3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50330271"/>
        <c:crosses val="autoZero"/>
        <c:crossBetween val="midCat"/>
        <c:majorUnit val="1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400" b="1" u="none" strike="noStrike">
                <a:solidFill>
                  <a:srgbClr val="808080"/>
                </a:solidFill>
                <a:uFillTx/>
                <a:latin typeface="Arial"/>
                <a:ea typeface="DejaVu Sans"/>
              </a:rPr>
              <a:t>Costs as % Budgeted</a:t>
            </a:r>
          </a:p>
        </c:rich>
      </c:tx>
      <c:layout>
        <c:manualLayout>
          <c:xMode val="edge"/>
          <c:yMode val="edge"/>
          <c:x val="0.00594474880522205"/>
          <c:y val="0.0040961223375204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078913626297"/>
          <c:y val="0.128618241398143"/>
          <c:w val="0.465671989742394"/>
          <c:h val="0.408929546695795"/>
        </c:manualLayout>
      </c:layout>
      <c:lineChart>
        <c:grouping val="standard"/>
        <c:varyColors val="0"/>
        <c:ser>
          <c:idx val="0"/>
          <c:order val="0"/>
          <c:tx>
            <c:strRef>
              <c:f>Main!$A$291</c:f>
              <c:strCache>
                <c:ptCount val="1"/>
                <c:pt idx="0">
                  <c:v>Nurse Practitioner</c:v>
                </c:pt>
              </c:strCache>
            </c:strRef>
          </c:tx>
          <c:spPr>
            <a:solidFill>
              <a:srgbClr val="2A6099">
                <a:alpha val="60000"/>
              </a:srgbClr>
            </a:solidFill>
            <a:ln w="72000">
              <a:solidFill>
                <a:srgbClr val="2A6099">
                  <a:alpha val="60000"/>
                </a:srgbClr>
              </a:solidFill>
              <a:round/>
            </a:ln>
          </c:spPr>
          <c:marker>
            <c:symbol val="circle"/>
            <c:size val="10"/>
            <c:spPr>
              <a:solidFill>
                <a:srgbClr val="2A6099"/>
              </a:solidFill>
            </c:spPr>
          </c:marker>
          <c:dPt>
            <c:idx val="2"/>
            <c:marker>
              <c:symbol val="circle"/>
              <c:size val="10"/>
              <c:spPr>
                <a:solidFill>
                  <a:srgbClr val="2A6099"/>
                </a:solidFill>
              </c:spPr>
            </c:marker>
          </c:dPt>
          <c:dLbls>
            <c:dLbl>
              <c:idx val="2"/>
              <c:numFmt formatCode="0.00%" sourceLinked="0"/>
              <c:txPr>
                <a:bodyPr wrap="none"/>
                <a:lstStyle/>
                <a:p>
                  <a:pPr>
                    <a:defRPr sz="1100" b="0" u="none" strike="noStrike">
                      <a:solidFill>
                        <a:srgbClr val="666666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720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Main!$D$291:$F$291</c:f>
              <c:numCache>
                <c:formatCode>0.00%</c:formatCode>
                <c:ptCount val="3"/>
                <c:pt idx="0">
                  <c:v>0.657002861211526</c:v>
                </c:pt>
                <c:pt idx="1">
                  <c:v>0.845204846681629</c:v>
                </c:pt>
                <c:pt idx="2">
                  <c:v>0.842414413209696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808080"/>
            </a:solidFill>
            <a:ln w="28800">
              <a:solidFill>
                <a:srgbClr val="808080"/>
              </a:solidFill>
              <a:prstDash val="sysDot"/>
              <a:round/>
            </a:ln>
          </c:spPr>
          <c:marker>
            <c:symbol val="none"/>
          </c:marker>
          <c:dPt>
            <c:idx val="2"/>
            <c:marker>
              <c:symbol val="none"/>
            </c:marker>
          </c:dPt>
          <c:dLbls>
            <c:dLbl>
              <c:idx val="2"/>
              <c:numFmt formatCode="0.00%" sourceLinked="0"/>
              <c:txPr>
                <a:bodyPr wrap="none"/>
                <a:lstStyle/>
                <a:p>
                  <a:pPr>
                    <a:defRPr sz="800" b="0" u="none" strike="noStrike">
                      <a:solidFill>
                        <a:srgbClr val="999999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  <a:prstDash val="sysDot"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Main!$D$304:$F$304</c:f>
              <c:numCache>
                <c:formatCode>0.00%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1563295"/>
        <c:axId val="62342309"/>
      </c:lineChart>
      <c:catAx>
        <c:axId val="1156329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62342309"/>
        <c:crosses val="autoZero"/>
        <c:auto val="1"/>
        <c:lblAlgn val="ctr"/>
        <c:lblOffset val="100"/>
        <c:noMultiLvlLbl val="0"/>
      </c:catAx>
      <c:valAx>
        <c:axId val="62342309"/>
        <c:scaling>
          <c:orientation val="minMax"/>
          <c:max val="1.6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11563295"/>
        <c:crosses val="autoZero"/>
        <c:crossBetween val="between"/>
        <c:majorUnit val="0.2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400" b="1" u="none" strike="noStrike">
                <a:solidFill>
                  <a:srgbClr val="808080"/>
                </a:solidFill>
                <a:uFillTx/>
                <a:latin typeface="Arial"/>
                <a:ea typeface="DejaVu Sans"/>
              </a:rPr>
              <a:t>Cost per Patient Visit</a:t>
            </a:r>
          </a:p>
        </c:rich>
      </c:tx>
      <c:layout>
        <c:manualLayout>
          <c:xMode val="edge"/>
          <c:yMode val="edge"/>
          <c:x val="0.0033091510754741"/>
          <c:y val="0.0038485412787088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002036400662"/>
          <c:y val="0.10788330229671"/>
          <c:w val="0.508463790250732"/>
          <c:h val="0.495965238981999"/>
        </c:manualLayout>
      </c:layout>
      <c:lineChart>
        <c:grouping val="standard"/>
        <c:varyColors val="0"/>
        <c:ser>
          <c:idx val="0"/>
          <c:order val="0"/>
          <c:tx>
            <c:strRef>
              <c:f>Main!$A$302</c:f>
              <c:strCache>
                <c:ptCount val="1"/>
                <c:pt idx="0">
                  <c:v>Overhead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540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circle"/>
            <c:size val="8"/>
            <c:spPr>
              <a:solidFill>
                <a:srgbClr val="000000"/>
              </a:solidFill>
            </c:spPr>
          </c:marker>
          <c:dPt>
            <c:idx val="2"/>
            <c:marker>
              <c:symbol val="circle"/>
              <c:size val="8"/>
              <c:spPr>
                <a:solidFill>
                  <a:srgbClr val="000000"/>
                </a:solidFill>
              </c:spPr>
            </c:marker>
          </c:dPt>
          <c:dLbls>
            <c:dLbl>
              <c:idx val="2"/>
              <c:numFmt formatCode="[$$-1009]#,##0.00;[RED]\-[$$-1009]#,##0.00" sourceLinked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540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Main!$D$302:$F$302</c:f>
              <c:numCache>
                <c:formatCode>[$$-1009]#,##0.00;[RED]\-[$$-1009]#,##0.00</c:formatCode>
                <c:ptCount val="3"/>
                <c:pt idx="0">
                  <c:v>41.4409862611462</c:v>
                </c:pt>
                <c:pt idx="1">
                  <c:v>56.2447598719615</c:v>
                </c:pt>
                <c:pt idx="2">
                  <c:v>58.4282187928921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Main!$A$301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B5E9B">
                <a:alpha val="50000"/>
              </a:srgbClr>
            </a:solidFill>
            <a:ln w="54000">
              <a:solidFill>
                <a:srgbClr val="6B5E9B">
                  <a:alpha val="50000"/>
                </a:srgbClr>
              </a:solidFill>
              <a:round/>
            </a:ln>
          </c:spPr>
          <c:marker>
            <c:symbol val="circle"/>
            <c:size val="8"/>
            <c:spPr>
              <a:solidFill>
                <a:srgbClr val="6B5E9B"/>
              </a:solidFill>
            </c:spPr>
          </c:marker>
          <c:dPt>
            <c:idx val="2"/>
            <c:marker>
              <c:symbol val="circle"/>
              <c:size val="8"/>
              <c:spPr>
                <a:solidFill>
                  <a:srgbClr val="6B5E9B"/>
                </a:solidFill>
              </c:spPr>
            </c:marker>
          </c:dPt>
          <c:dLbls>
            <c:dLbl>
              <c:idx val="2"/>
              <c:numFmt formatCode="[$$-1009]#,##0.00;[RED]\-[$$-1009]#,##0.00" sourceLinked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540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Main!$D$301:$F$301</c:f>
              <c:numCache>
                <c:formatCode>[$$-1009]#,##0.00;[RED]\-[$$-1009]#,##0.00</c:formatCode>
                <c:ptCount val="3"/>
                <c:pt idx="0">
                  <c:v>16.1952428588907</c:v>
                </c:pt>
                <c:pt idx="1">
                  <c:v>12.8385740430266</c:v>
                </c:pt>
                <c:pt idx="2">
                  <c:v>12.8313062474884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Main!$A$300</c:f>
              <c:strCache>
                <c:ptCount val="1"/>
                <c:pt idx="0">
                  <c:v>Nursing</c:v>
                </c:pt>
              </c:strCache>
            </c:strRef>
          </c:tx>
          <c:spPr>
            <a:solidFill>
              <a:srgbClr val="158466">
                <a:alpha val="50000"/>
              </a:srgbClr>
            </a:solidFill>
            <a:ln w="54000">
              <a:solidFill>
                <a:srgbClr val="158466">
                  <a:alpha val="50000"/>
                </a:srgbClr>
              </a:solidFill>
              <a:round/>
            </a:ln>
          </c:spPr>
          <c:marker>
            <c:symbol val="circle"/>
            <c:size val="8"/>
            <c:spPr>
              <a:solidFill>
                <a:srgbClr val="158466"/>
              </a:solidFill>
            </c:spPr>
          </c:marker>
          <c:dPt>
            <c:idx val="2"/>
            <c:marker>
              <c:symbol val="circle"/>
              <c:size val="8"/>
              <c:spPr>
                <a:solidFill>
                  <a:srgbClr val="158466"/>
                </a:solidFill>
              </c:spPr>
            </c:marker>
          </c:dPt>
          <c:dLbls>
            <c:dLbl>
              <c:idx val="2"/>
              <c:layout>
                <c:manualLayout>
                  <c:x val="0.00140002545500828"/>
                  <c:y val="0.0189944134078212"/>
                </c:manualLayout>
              </c:layout>
              <c:numFmt formatCode="[$$-1009]#,##0.00;[RED]\-[$$-1009]#,##0.00" sourceLinked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Main!$D$300:$F$300</c:f>
              <c:numCache>
                <c:formatCode>[$$-1009]#,##0.00;[RED]\-[$$-1009]#,##0.00</c:formatCode>
                <c:ptCount val="3"/>
                <c:pt idx="0">
                  <c:v>29.5529885065744</c:v>
                </c:pt>
                <c:pt idx="1">
                  <c:v>52.9818272429423</c:v>
                </c:pt>
                <c:pt idx="2">
                  <c:v>53.9678362159075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Main!$A$299</c:f>
              <c:strCache>
                <c:ptCount val="1"/>
                <c:pt idx="0">
                  <c:v>Primary Care</c:v>
                </c:pt>
              </c:strCache>
            </c:strRef>
          </c:tx>
          <c:spPr>
            <a:solidFill>
              <a:srgbClr val="2A6099">
                <a:alpha val="50000"/>
              </a:srgbClr>
            </a:solidFill>
            <a:ln w="54000">
              <a:solidFill>
                <a:srgbClr val="2A6099">
                  <a:alpha val="50000"/>
                </a:srgbClr>
              </a:solidFill>
              <a:round/>
            </a:ln>
          </c:spPr>
          <c:marker>
            <c:symbol val="circle"/>
            <c:size val="8"/>
            <c:spPr>
              <a:solidFill>
                <a:srgbClr val="2A6099"/>
              </a:solidFill>
            </c:spPr>
          </c:marker>
          <c:dPt>
            <c:idx val="0"/>
            <c:marker>
              <c:symbol val="circle"/>
              <c:size val="8"/>
              <c:spPr>
                <a:solidFill>
                  <a:srgbClr val="2A6099"/>
                </a:solidFill>
              </c:spPr>
            </c:marker>
          </c:dPt>
          <c:dPt>
            <c:idx val="2"/>
            <c:marker>
              <c:symbol val="circle"/>
              <c:size val="8"/>
              <c:spPr>
                <a:solidFill>
                  <a:srgbClr val="2A6099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layout>
                <c:manualLayout>
                  <c:x val="-0.00532710933657121"/>
                  <c:y val="-0.0386095592799504"/>
                </c:manualLayout>
              </c:layout>
              <c:numFmt formatCode="[$$-1009]#,##0.00;[RED]\-[$$-1009]#,##0.00" sourceLinked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Main!$D$299:$F$299</c:f>
              <c:numCache>
                <c:formatCode>[$$-1009]#,##0.00;[RED]\-[$$-1009]#,##0.00</c:formatCode>
                <c:ptCount val="3"/>
                <c:pt idx="0">
                  <c:v>41.8627079000209</c:v>
                </c:pt>
                <c:pt idx="1">
                  <c:v>60.4362145719882</c:v>
                </c:pt>
                <c:pt idx="2">
                  <c:v>60.8293347314848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706174"/>
        <c:axId val="88435258"/>
      </c:lineChart>
      <c:catAx>
        <c:axId val="6570617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88435258"/>
        <c:crosses val="autoZero"/>
        <c:auto val="1"/>
        <c:lblAlgn val="ctr"/>
        <c:lblOffset val="100"/>
        <c:noMultiLvlLbl val="0"/>
      </c:catAx>
      <c:valAx>
        <c:axId val="88435258"/>
        <c:scaling>
          <c:orientation val="minMax"/>
        </c:scaling>
        <c:delete val="0"/>
        <c:axPos val="l"/>
        <c:numFmt formatCode="[$$-1009]#,##0;[RED]\-[$$-1009]#,##0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6570617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14807959278112"/>
          <c:y val="0.00183431952662722"/>
          <c:w val="0.616689804103039"/>
          <c:h val="0.94656804733727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Main!$A$242</c:f>
              <c:strCache>
                <c:ptCount val="1"/>
                <c:pt idx="0">
                  <c:v>Family Physician </c:v>
                </c:pt>
              </c:strCache>
            </c:strRef>
          </c:tx>
          <c:spPr>
            <a:solidFill>
              <a:srgbClr val="2A6099">
                <a:alpha val="6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Main!$D$242:$AW$242</c:f>
              <c:numCache>
                <c:formatCode>[$$-1009]#,##0.00;[RED]\-[$$-1009]#,##0.00</c:formatCode>
                <c:ptCount val="43"/>
                <c:pt idx="0">
                  <c:v>34.62747550379</c:v>
                </c:pt>
                <c:pt idx="1">
                  <c:v>37.8647819213243</c:v>
                </c:pt>
                <c:pt idx="2">
                  <c:v>49.0474857318465</c:v>
                </c:pt>
                <c:pt idx="3">
                  <c:v>23.4165907681903</c:v>
                </c:pt>
                <c:pt idx="4">
                  <c:v>35.6419086045084</c:v>
                </c:pt>
                <c:pt idx="5">
                  <c:v>36.0853531591413</c:v>
                </c:pt>
                <c:pt idx="6">
                  <c:v>31.4565507685051</c:v>
                </c:pt>
                <c:pt idx="7">
                  <c:v>25.434735347276</c:v>
                </c:pt>
                <c:pt idx="8">
                  <c:v>18.5827880456154</c:v>
                </c:pt>
                <c:pt idx="9">
                  <c:v>5.52433869627615</c:v>
                </c:pt>
                <c:pt idx="11">
                  <c:v>47.1406740464445</c:v>
                </c:pt>
                <c:pt idx="12">
                  <c:v>27.3120826239359</c:v>
                </c:pt>
                <c:pt idx="13">
                  <c:v>49.385652173913</c:v>
                </c:pt>
                <c:pt idx="14">
                  <c:v>0</c:v>
                </c:pt>
                <c:pt idx="15">
                  <c:v>23.03925116199</c:v>
                </c:pt>
                <c:pt idx="16">
                  <c:v>42.6822400634959</c:v>
                </c:pt>
                <c:pt idx="17">
                  <c:v>21.0543348330834</c:v>
                </c:pt>
                <c:pt idx="18">
                  <c:v>110.737132516704</c:v>
                </c:pt>
                <c:pt idx="19">
                  <c:v>34.0670015505109</c:v>
                </c:pt>
                <c:pt idx="20">
                  <c:v>9.91713712910986</c:v>
                </c:pt>
                <c:pt idx="22">
                  <c:v>56.0806689621249</c:v>
                </c:pt>
                <c:pt idx="23">
                  <c:v>11.1989927252378</c:v>
                </c:pt>
                <c:pt idx="25">
                  <c:v>76.5173064336041</c:v>
                </c:pt>
                <c:pt idx="26">
                  <c:v>59.4346918733121</c:v>
                </c:pt>
                <c:pt idx="27">
                  <c:v>0</c:v>
                </c:pt>
                <c:pt idx="28">
                  <c:v>59.9522418757713</c:v>
                </c:pt>
                <c:pt idx="29">
                  <c:v>63.236149956211</c:v>
                </c:pt>
                <c:pt idx="30">
                  <c:v>51.5290482076638</c:v>
                </c:pt>
                <c:pt idx="31">
                  <c:v>74.616331399447</c:v>
                </c:pt>
                <c:pt idx="33">
                  <c:v>72.5305493599956</c:v>
                </c:pt>
                <c:pt idx="34">
                  <c:v>3.71175566042738</c:v>
                </c:pt>
                <c:pt idx="35">
                  <c:v>88.0455319435709</c:v>
                </c:pt>
                <c:pt idx="36">
                  <c:v>83.0032358299423</c:v>
                </c:pt>
                <c:pt idx="37">
                  <c:v>69.9242184776293</c:v>
                </c:pt>
                <c:pt idx="38">
                  <c:v>47.8367899270313</c:v>
                </c:pt>
                <c:pt idx="39">
                  <c:v>69.8642116908851</c:v>
                </c:pt>
                <c:pt idx="40">
                  <c:v>0</c:v>
                </c:pt>
                <c:pt idx="41">
                  <c:v>65.867870649493</c:v>
                </c:pt>
                <c:pt idx="42">
                  <c:v>22.2039945652174</c:v>
                </c:pt>
              </c:numCache>
            </c:numRef>
          </c:val>
        </c:ser>
        <c:ser>
          <c:idx val="1"/>
          <c:order val="1"/>
          <c:tx>
            <c:strRef>
              <c:f>Main!$A$243</c:f>
              <c:strCache>
                <c:ptCount val="1"/>
                <c:pt idx="0">
                  <c:v>Nurse Practitioner</c:v>
                </c:pt>
              </c:strCache>
            </c:strRef>
          </c:tx>
          <c:spPr>
            <a:solidFill>
              <a:srgbClr val="2A6099">
                <a:alpha val="5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Main!$D$243:$AW$243</c:f>
              <c:numCache>
                <c:formatCode>[$$-1009]#,##0.00;[RED]\-[$$-1009]#,##0.00</c:formatCode>
                <c:ptCount val="43"/>
                <c:pt idx="0">
                  <c:v>19.3824074074074</c:v>
                </c:pt>
                <c:pt idx="1">
                  <c:v>0</c:v>
                </c:pt>
                <c:pt idx="2">
                  <c:v>0</c:v>
                </c:pt>
                <c:pt idx="3">
                  <c:v>25.4317919742997</c:v>
                </c:pt>
                <c:pt idx="4">
                  <c:v>36.7654609244803</c:v>
                </c:pt>
                <c:pt idx="5">
                  <c:v>16.3370964168386</c:v>
                </c:pt>
                <c:pt idx="6">
                  <c:v>12.3312152600338</c:v>
                </c:pt>
                <c:pt idx="7">
                  <c:v>0</c:v>
                </c:pt>
                <c:pt idx="8">
                  <c:v>14.0147476733517</c:v>
                </c:pt>
                <c:pt idx="9">
                  <c:v>18.2416738424352</c:v>
                </c:pt>
                <c:pt idx="11">
                  <c:v>1.160416797016</c:v>
                </c:pt>
                <c:pt idx="12">
                  <c:v>19.252169754632</c:v>
                </c:pt>
                <c:pt idx="13">
                  <c:v>7.92686160995589</c:v>
                </c:pt>
                <c:pt idx="14">
                  <c:v>10.5125995558845</c:v>
                </c:pt>
                <c:pt idx="15">
                  <c:v>17.4529839903598</c:v>
                </c:pt>
                <c:pt idx="16">
                  <c:v>19.3536638378411</c:v>
                </c:pt>
                <c:pt idx="17">
                  <c:v>20.322751763595</c:v>
                </c:pt>
                <c:pt idx="18">
                  <c:v>0</c:v>
                </c:pt>
                <c:pt idx="19">
                  <c:v>35.3903900131197</c:v>
                </c:pt>
                <c:pt idx="20">
                  <c:v>22.3690874097835</c:v>
                </c:pt>
                <c:pt idx="22">
                  <c:v>40.8043941629775</c:v>
                </c:pt>
                <c:pt idx="23">
                  <c:v>0</c:v>
                </c:pt>
                <c:pt idx="25">
                  <c:v>33.2459477149347</c:v>
                </c:pt>
                <c:pt idx="26">
                  <c:v>41.0538914804812</c:v>
                </c:pt>
                <c:pt idx="27">
                  <c:v>0</c:v>
                </c:pt>
                <c:pt idx="28">
                  <c:v>32.651871657754</c:v>
                </c:pt>
                <c:pt idx="29">
                  <c:v>29.4653501709184</c:v>
                </c:pt>
                <c:pt idx="30">
                  <c:v>40.1230325504738</c:v>
                </c:pt>
                <c:pt idx="31">
                  <c:v>31.5030092718104</c:v>
                </c:pt>
                <c:pt idx="33">
                  <c:v>9.78772729769818</c:v>
                </c:pt>
                <c:pt idx="34">
                  <c:v>3.92302561111406</c:v>
                </c:pt>
                <c:pt idx="35">
                  <c:v>0</c:v>
                </c:pt>
                <c:pt idx="36">
                  <c:v>0</c:v>
                </c:pt>
                <c:pt idx="37">
                  <c:v>9.14645845438698</c:v>
                </c:pt>
                <c:pt idx="38">
                  <c:v>4.4765496241839</c:v>
                </c:pt>
                <c:pt idx="39">
                  <c:v>25.4105815719947</c:v>
                </c:pt>
                <c:pt idx="40">
                  <c:v>0</c:v>
                </c:pt>
                <c:pt idx="41">
                  <c:v>0</c:v>
                </c:pt>
                <c:pt idx="42">
                  <c:v>26.5702798913044</c:v>
                </c:pt>
              </c:numCache>
            </c:numRef>
          </c:val>
        </c:ser>
        <c:ser>
          <c:idx val="2"/>
          <c:order val="2"/>
          <c:tx>
            <c:strRef>
              <c:f>Main!$A$239</c:f>
              <c:strCache>
                <c:ptCount val="1"/>
                <c:pt idx="0">
                  <c:v>Nursing</c:v>
                </c:pt>
              </c:strCache>
            </c:strRef>
          </c:tx>
          <c:spPr>
            <a:solidFill>
              <a:srgbClr val="158466">
                <a:alpha val="5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Main!$D$239:$AW$239</c:f>
              <c:numCache>
                <c:formatCode>[$$-1009]#,##0.00;[RED]\-[$$-1009]#,##0.00</c:formatCode>
                <c:ptCount val="43"/>
                <c:pt idx="0">
                  <c:v>51.325600542306</c:v>
                </c:pt>
                <c:pt idx="1">
                  <c:v>81.4496745094392</c:v>
                </c:pt>
                <c:pt idx="2">
                  <c:v>60.0475946088331</c:v>
                </c:pt>
                <c:pt idx="3">
                  <c:v>32.0318717240602</c:v>
                </c:pt>
                <c:pt idx="4">
                  <c:v>53.5828273835628</c:v>
                </c:pt>
                <c:pt idx="5">
                  <c:v>25.3771414928566</c:v>
                </c:pt>
                <c:pt idx="6">
                  <c:v>36.8019468139471</c:v>
                </c:pt>
                <c:pt idx="7">
                  <c:v>63.3989904466822</c:v>
                </c:pt>
                <c:pt idx="8">
                  <c:v>101.755418796697</c:v>
                </c:pt>
                <c:pt idx="9">
                  <c:v>118.577357051137</c:v>
                </c:pt>
                <c:pt idx="11">
                  <c:v>23.701754542173</c:v>
                </c:pt>
                <c:pt idx="12">
                  <c:v>83.0035418127191</c:v>
                </c:pt>
                <c:pt idx="13">
                  <c:v>38.1019323015123</c:v>
                </c:pt>
                <c:pt idx="14">
                  <c:v>106.693872686899</c:v>
                </c:pt>
                <c:pt idx="15">
                  <c:v>49.1158223446376</c:v>
                </c:pt>
                <c:pt idx="16">
                  <c:v>52.6217131693022</c:v>
                </c:pt>
                <c:pt idx="17">
                  <c:v>85.1343215019719</c:v>
                </c:pt>
                <c:pt idx="18">
                  <c:v>110.969240905716</c:v>
                </c:pt>
                <c:pt idx="19">
                  <c:v>80.847539060947</c:v>
                </c:pt>
                <c:pt idx="20">
                  <c:v>116.686344827586</c:v>
                </c:pt>
                <c:pt idx="22">
                  <c:v>28.7675028693228</c:v>
                </c:pt>
                <c:pt idx="23">
                  <c:v>24.4792762544301</c:v>
                </c:pt>
                <c:pt idx="25">
                  <c:v>78.1148500365764</c:v>
                </c:pt>
                <c:pt idx="26">
                  <c:v>59.7119240527048</c:v>
                </c:pt>
                <c:pt idx="27">
                  <c:v>0</c:v>
                </c:pt>
                <c:pt idx="28">
                  <c:v>70.1204442616207</c:v>
                </c:pt>
                <c:pt idx="29">
                  <c:v>72.1901291069865</c:v>
                </c:pt>
                <c:pt idx="30">
                  <c:v>68.9919241862382</c:v>
                </c:pt>
                <c:pt idx="31">
                  <c:v>118.475844493846</c:v>
                </c:pt>
                <c:pt idx="33">
                  <c:v>58.3055540295556</c:v>
                </c:pt>
                <c:pt idx="34">
                  <c:v>3.78779362638528</c:v>
                </c:pt>
                <c:pt idx="35">
                  <c:v>56.1416569323389</c:v>
                </c:pt>
                <c:pt idx="36">
                  <c:v>39.3675105988116</c:v>
                </c:pt>
                <c:pt idx="37">
                  <c:v>75.4194654270773</c:v>
                </c:pt>
                <c:pt idx="38">
                  <c:v>72.7974433532671</c:v>
                </c:pt>
                <c:pt idx="39">
                  <c:v>54.0962681638045</c:v>
                </c:pt>
                <c:pt idx="40">
                  <c:v>50.4454355400697</c:v>
                </c:pt>
                <c:pt idx="41">
                  <c:v>44.7097835023294</c:v>
                </c:pt>
                <c:pt idx="42">
                  <c:v>94.4807065217391</c:v>
                </c:pt>
              </c:numCache>
            </c:numRef>
          </c:val>
        </c:ser>
        <c:ser>
          <c:idx val="3"/>
          <c:order val="3"/>
          <c:tx>
            <c:strRef>
              <c:f>Main!$A$240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B5E9B">
                <a:alpha val="5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Main!$D$240:$AW$240</c:f>
              <c:numCache>
                <c:formatCode>[$$-1009]#,##0.00;[RED]\-[$$-1009]#,##0.00</c:formatCode>
                <c:ptCount val="43"/>
                <c:pt idx="0">
                  <c:v>5.57300117088803</c:v>
                </c:pt>
                <c:pt idx="1">
                  <c:v>21.9780851855296</c:v>
                </c:pt>
                <c:pt idx="2">
                  <c:v>12.5216046184915</c:v>
                </c:pt>
                <c:pt idx="3">
                  <c:v>9.48268274812602</c:v>
                </c:pt>
                <c:pt idx="4">
                  <c:v>8.92889176388036</c:v>
                </c:pt>
                <c:pt idx="5">
                  <c:v>7.16012128504851</c:v>
                </c:pt>
                <c:pt idx="6">
                  <c:v>8.03725578835646</c:v>
                </c:pt>
                <c:pt idx="7">
                  <c:v>3.15356312935709</c:v>
                </c:pt>
                <c:pt idx="8">
                  <c:v>5.79821863940228</c:v>
                </c:pt>
                <c:pt idx="9">
                  <c:v>16.9886789032404</c:v>
                </c:pt>
                <c:pt idx="11">
                  <c:v>12.4814898327518</c:v>
                </c:pt>
                <c:pt idx="12">
                  <c:v>32.2094131196795</c:v>
                </c:pt>
                <c:pt idx="13">
                  <c:v>10.7581949039067</c:v>
                </c:pt>
                <c:pt idx="14">
                  <c:v>66.9507268689859</c:v>
                </c:pt>
                <c:pt idx="15">
                  <c:v>27.7285739369943</c:v>
                </c:pt>
                <c:pt idx="16">
                  <c:v>22.1355534525917</c:v>
                </c:pt>
                <c:pt idx="17">
                  <c:v>17.2839260123313</c:v>
                </c:pt>
                <c:pt idx="18">
                  <c:v>10.039024684484</c:v>
                </c:pt>
                <c:pt idx="19">
                  <c:v>22.853093467976</c:v>
                </c:pt>
                <c:pt idx="20">
                  <c:v>17.3197706495589</c:v>
                </c:pt>
                <c:pt idx="22">
                  <c:v>17.4925397606165</c:v>
                </c:pt>
                <c:pt idx="23">
                  <c:v>12.3830255549338</c:v>
                </c:pt>
                <c:pt idx="25">
                  <c:v>0</c:v>
                </c:pt>
                <c:pt idx="26">
                  <c:v>6.80595793436451</c:v>
                </c:pt>
                <c:pt idx="27">
                  <c:v>0</c:v>
                </c:pt>
                <c:pt idx="28">
                  <c:v>8.04545454545455</c:v>
                </c:pt>
                <c:pt idx="29">
                  <c:v>7.68423877729751</c:v>
                </c:pt>
                <c:pt idx="30">
                  <c:v>5.48533168520808</c:v>
                </c:pt>
                <c:pt idx="31">
                  <c:v>22.9027815431329</c:v>
                </c:pt>
                <c:pt idx="33">
                  <c:v>12.6289622589683</c:v>
                </c:pt>
                <c:pt idx="34">
                  <c:v>20.2266291956095</c:v>
                </c:pt>
                <c:pt idx="35">
                  <c:v>12.7680384580825</c:v>
                </c:pt>
                <c:pt idx="36">
                  <c:v>9.2414145369724</c:v>
                </c:pt>
                <c:pt idx="37">
                  <c:v>24.1929110981987</c:v>
                </c:pt>
                <c:pt idx="38">
                  <c:v>30.0213968288802</c:v>
                </c:pt>
                <c:pt idx="39">
                  <c:v>11.0976552179657</c:v>
                </c:pt>
                <c:pt idx="40">
                  <c:v>15.5549400696864</c:v>
                </c:pt>
                <c:pt idx="41">
                  <c:v>12.6123020005481</c:v>
                </c:pt>
                <c:pt idx="42">
                  <c:v>12.6118369565217</c:v>
                </c:pt>
              </c:numCache>
            </c:numRef>
          </c:val>
        </c:ser>
        <c:ser>
          <c:idx val="4"/>
          <c:order val="4"/>
          <c:tx>
            <c:strRef>
              <c:f>Main!$A$241</c:f>
              <c:strCache>
                <c:ptCount val="1"/>
                <c:pt idx="0">
                  <c:v>Overhead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Main!$D$241:$AW$241</c:f>
              <c:numCache>
                <c:formatCode>[$$-1009]#,##0.00;[RED]\-[$$-1009]#,##0.00</c:formatCode>
                <c:ptCount val="43"/>
                <c:pt idx="0">
                  <c:v>0</c:v>
                </c:pt>
                <c:pt idx="1">
                  <c:v>92.5057807123593</c:v>
                </c:pt>
                <c:pt idx="2">
                  <c:v>43.9355536043551</c:v>
                </c:pt>
                <c:pt idx="3">
                  <c:v>40.7876204700445</c:v>
                </c:pt>
                <c:pt idx="4">
                  <c:v>54.4342601526182</c:v>
                </c:pt>
                <c:pt idx="5">
                  <c:v>41.3760562304225</c:v>
                </c:pt>
                <c:pt idx="6">
                  <c:v>41.0051910452455</c:v>
                </c:pt>
                <c:pt idx="7">
                  <c:v>48.7167776917119</c:v>
                </c:pt>
                <c:pt idx="8">
                  <c:v>80.0255695372919</c:v>
                </c:pt>
                <c:pt idx="9">
                  <c:v>134.816769393459</c:v>
                </c:pt>
                <c:pt idx="11">
                  <c:v>39.8680519793045</c:v>
                </c:pt>
                <c:pt idx="12">
                  <c:v>58.3248072108162</c:v>
                </c:pt>
                <c:pt idx="13">
                  <c:v>34.1589697542533</c:v>
                </c:pt>
                <c:pt idx="14">
                  <c:v>83.0443227239082</c:v>
                </c:pt>
                <c:pt idx="15">
                  <c:v>42.7537338612498</c:v>
                </c:pt>
                <c:pt idx="16">
                  <c:v>78.1168105500946</c:v>
                </c:pt>
                <c:pt idx="17">
                  <c:v>64.0007237682608</c:v>
                </c:pt>
                <c:pt idx="18">
                  <c:v>77.5311627691166</c:v>
                </c:pt>
                <c:pt idx="19">
                  <c:v>60.188458633165</c:v>
                </c:pt>
                <c:pt idx="20">
                  <c:v>101.804704089816</c:v>
                </c:pt>
                <c:pt idx="22">
                  <c:v>47.4141662567634</c:v>
                </c:pt>
                <c:pt idx="23">
                  <c:v>25.1696698377168</c:v>
                </c:pt>
                <c:pt idx="25">
                  <c:v>120.647518576984</c:v>
                </c:pt>
                <c:pt idx="26">
                  <c:v>85.2228087404861</c:v>
                </c:pt>
                <c:pt idx="27">
                  <c:v>0</c:v>
                </c:pt>
                <c:pt idx="28">
                  <c:v>64.5055944055944</c:v>
                </c:pt>
                <c:pt idx="29">
                  <c:v>61.4022657287341</c:v>
                </c:pt>
                <c:pt idx="30">
                  <c:v>61.4552533992583</c:v>
                </c:pt>
                <c:pt idx="31">
                  <c:v>97.4677113267907</c:v>
                </c:pt>
                <c:pt idx="33">
                  <c:v>101.453605999011</c:v>
                </c:pt>
                <c:pt idx="34">
                  <c:v>73.6828612333634</c:v>
                </c:pt>
                <c:pt idx="35">
                  <c:v>66.1759120316291</c:v>
                </c:pt>
                <c:pt idx="36">
                  <c:v>43.7029331040471</c:v>
                </c:pt>
                <c:pt idx="37">
                  <c:v>85.3584166182452</c:v>
                </c:pt>
                <c:pt idx="38">
                  <c:v>86.3803193065233</c:v>
                </c:pt>
                <c:pt idx="39">
                  <c:v>41.3141710700132</c:v>
                </c:pt>
                <c:pt idx="40">
                  <c:v>115.102431358885</c:v>
                </c:pt>
                <c:pt idx="41">
                  <c:v>76.0579336804604</c:v>
                </c:pt>
                <c:pt idx="42">
                  <c:v>107.909048913043</c:v>
                </c:pt>
              </c:numCache>
            </c:numRef>
          </c:val>
        </c:ser>
        <c:gapWidth val="20"/>
        <c:overlap val="100"/>
        <c:axId val="88502467"/>
        <c:axId val="94792068"/>
      </c:barChart>
      <c:catAx>
        <c:axId val="88502467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94792068"/>
        <c:crosses val="autoZero"/>
        <c:auto val="1"/>
        <c:lblAlgn val="ctr"/>
        <c:lblOffset val="100"/>
        <c:noMultiLvlLbl val="0"/>
      </c:catAx>
      <c:valAx>
        <c:axId val="94792068"/>
        <c:scaling>
          <c:orientation val="minMax"/>
        </c:scaling>
        <c:delete val="0"/>
        <c:axPos val="l"/>
        <c:numFmt formatCode="[$-1009]0%" sourceLinked="0"/>
        <c:majorTickMark val="out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88502467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93975548681691"/>
          <c:y val="0.603595080416273"/>
          <c:w val="0.588893798792164"/>
          <c:h val="0.35383159886471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Main!$A$242</c:f>
              <c:strCache>
                <c:ptCount val="1"/>
                <c:pt idx="0">
                  <c:v>Family Physician </c:v>
                </c:pt>
              </c:strCache>
            </c:strRef>
          </c:tx>
          <c:spPr>
            <a:solidFill>
              <a:srgbClr val="2A6099">
                <a:alpha val="6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Main!$D$227:$AS$227</c:f>
              <c:strCache>
                <c:ptCount val="41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</c:strCache>
            </c:strRef>
          </c:cat>
          <c:val>
            <c:numRef>
              <c:f>Main!$BE$242</c:f>
              <c:numCache>
                <c:formatCode>[$$-1009]#,##0.00;[RED]\-[$$-1009]#,##0.00</c:formatCode>
                <c:ptCount val="1"/>
                <c:pt idx="0">
                  <c:v>44.9891695024874</c:v>
                </c:pt>
              </c:numCache>
            </c:numRef>
          </c:val>
        </c:ser>
        <c:ser>
          <c:idx val="1"/>
          <c:order val="1"/>
          <c:tx>
            <c:strRef>
              <c:f>Main!$A$243</c:f>
              <c:strCache>
                <c:ptCount val="1"/>
                <c:pt idx="0">
                  <c:v>Nurse Practitioner</c:v>
                </c:pt>
              </c:strCache>
            </c:strRef>
          </c:tx>
          <c:spPr>
            <a:solidFill>
              <a:srgbClr val="2A6099">
                <a:alpha val="5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Main!$D$227:$AS$227</c:f>
              <c:strCache>
                <c:ptCount val="41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</c:strCache>
            </c:strRef>
          </c:cat>
          <c:val>
            <c:numRef>
              <c:f>Main!$BE$243</c:f>
              <c:numCache>
                <c:formatCode>[$$-1009]#,##0.00;[RED]\-[$$-1009]#,##0.00</c:formatCode>
                <c:ptCount val="1"/>
                <c:pt idx="0">
                  <c:v>15.8401652289974</c:v>
                </c:pt>
              </c:numCache>
            </c:numRef>
          </c:val>
        </c:ser>
        <c:ser>
          <c:idx val="2"/>
          <c:order val="2"/>
          <c:tx>
            <c:strRef>
              <c:f>Main!$A$239</c:f>
              <c:strCache>
                <c:ptCount val="1"/>
                <c:pt idx="0">
                  <c:v>Nursing</c:v>
                </c:pt>
              </c:strCache>
            </c:strRef>
          </c:tx>
          <c:spPr>
            <a:solidFill>
              <a:srgbClr val="158466">
                <a:alpha val="5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158466">
                  <a:alpha val="5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Main!$D$227:$AS$227</c:f>
              <c:strCache>
                <c:ptCount val="41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</c:strCache>
            </c:strRef>
          </c:cat>
          <c:val>
            <c:numRef>
              <c:f>Main!$BE$239</c:f>
              <c:numCache>
                <c:formatCode>[$$-1009]#,##0.00;[RED]\-[$$-1009]#,##0.00</c:formatCode>
                <c:ptCount val="1"/>
                <c:pt idx="0">
                  <c:v>53.9678362159075</c:v>
                </c:pt>
              </c:numCache>
            </c:numRef>
          </c:val>
        </c:ser>
        <c:ser>
          <c:idx val="3"/>
          <c:order val="3"/>
          <c:tx>
            <c:strRef>
              <c:f>Main!$A$240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B5E9B">
                <a:alpha val="5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Main!$D$227:$AS$227</c:f>
              <c:strCache>
                <c:ptCount val="41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</c:strCache>
            </c:strRef>
          </c:cat>
          <c:val>
            <c:numRef>
              <c:f>Main!$BE$240</c:f>
              <c:numCache>
                <c:formatCode>[$$-1009]#,##0.00;[RED]\-[$$-1009]#,##0.00</c:formatCode>
                <c:ptCount val="1"/>
                <c:pt idx="0">
                  <c:v>12.8313062474884</c:v>
                </c:pt>
              </c:numCache>
            </c:numRef>
          </c:val>
        </c:ser>
        <c:ser>
          <c:idx val="4"/>
          <c:order val="4"/>
          <c:tx>
            <c:strRef>
              <c:f>Main!$A$241</c:f>
              <c:strCache>
                <c:ptCount val="1"/>
                <c:pt idx="0">
                  <c:v>Overhead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00">
                  <a:alpha val="5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Main!$D$227:$AS$227</c:f>
              <c:strCache>
                <c:ptCount val="41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</c:strCache>
            </c:strRef>
          </c:cat>
          <c:val>
            <c:numRef>
              <c:f>Main!$BE$241</c:f>
              <c:numCache>
                <c:formatCode>[$$-1009]#,##0.00;[RED]\-[$$-1009]#,##0.00</c:formatCode>
                <c:ptCount val="1"/>
                <c:pt idx="0">
                  <c:v>58.4282187928921</c:v>
                </c:pt>
              </c:numCache>
            </c:numRef>
          </c:val>
        </c:ser>
        <c:gapWidth val="20"/>
        <c:overlap val="100"/>
        <c:axId val="38296914"/>
        <c:axId val="39005204"/>
      </c:barChart>
      <c:catAx>
        <c:axId val="38296914"/>
        <c:scaling>
          <c:orientation val="maxMin"/>
        </c:scaling>
        <c:delete val="1"/>
        <c:axPos val="b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39005204"/>
        <c:auto val="1"/>
        <c:lblAlgn val="ctr"/>
        <c:lblOffset val="100"/>
        <c:noMultiLvlLbl val="0"/>
      </c:catAx>
      <c:valAx>
        <c:axId val="39005204"/>
        <c:scaling>
          <c:orientation val="minMax"/>
          <c:max val="1"/>
        </c:scaling>
        <c:delete val="0"/>
        <c:axPos val="l"/>
        <c:numFmt formatCode="[$-1009]0%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38296914"/>
        <c:crosses val="autoZero"/>
        <c:crossBetween val="midCat"/>
        <c:majorUnit val="0.25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400" b="1" u="none" strike="noStrike">
                <a:solidFill>
                  <a:srgbClr val="808080"/>
                </a:solidFill>
                <a:uFillTx/>
                <a:latin typeface="Arial"/>
                <a:ea typeface="DejaVu Sans"/>
              </a:rPr>
              <a:t> Actual Costs</a:t>
            </a:r>
          </a:p>
        </c:rich>
      </c:tx>
      <c:layout>
        <c:manualLayout>
          <c:xMode val="edge"/>
          <c:yMode val="edge"/>
          <c:x val="0.000810208628721896"/>
          <c:y val="0.0043266630611141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6911079603"/>
          <c:y val="0.137101135749054"/>
          <c:w val="0.404597933967997"/>
          <c:h val="0.404948620876149"/>
        </c:manualLayout>
      </c:layout>
      <c:lineChart>
        <c:grouping val="standard"/>
        <c:varyColors val="0"/>
        <c:ser>
          <c:idx val="0"/>
          <c:order val="0"/>
          <c:tx>
            <c:strRef>
              <c:f>Main!$A$279</c:f>
              <c:strCache>
                <c:ptCount val="1"/>
                <c:pt idx="0">
                  <c:v>Family Physician </c:v>
                </c:pt>
              </c:strCache>
            </c:strRef>
          </c:tx>
          <c:spPr>
            <a:solidFill>
              <a:srgbClr val="2A6099">
                <a:alpha val="60000"/>
              </a:srgbClr>
            </a:solidFill>
            <a:ln w="72000">
              <a:solidFill>
                <a:srgbClr val="2A6099">
                  <a:alpha val="60000"/>
                </a:srgbClr>
              </a:solidFill>
              <a:round/>
            </a:ln>
          </c:spPr>
          <c:marker>
            <c:symbol val="circle"/>
            <c:size val="10"/>
            <c:spPr>
              <a:solidFill>
                <a:srgbClr val="2A6099"/>
              </a:solidFill>
            </c:spPr>
          </c:marker>
          <c:dPt>
            <c:idx val="2"/>
            <c:marker>
              <c:symbol val="circle"/>
              <c:size val="10"/>
              <c:spPr>
                <a:solidFill>
                  <a:srgbClr val="2A6099"/>
                </a:solidFill>
              </c:spPr>
            </c:marker>
          </c:dPt>
          <c:dLbls>
            <c:dLbl>
              <c:idx val="2"/>
              <c:layout>
                <c:manualLayout>
                  <c:x val="-0.0638039295118493"/>
                  <c:y val="0.00365062195781507"/>
                </c:manualLayout>
              </c:layout>
              <c:numFmt formatCode="[$$-1009]#,##0;[RED]\-[$$-1009]#,##0" sourceLinked="0"/>
              <c:txPr>
                <a:bodyPr wrap="none"/>
                <a:lstStyle/>
                <a:p>
                  <a:pPr>
                    <a:defRPr sz="1100" b="0" u="none" strike="noStrike">
                      <a:solidFill>
                        <a:srgbClr val="666666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Main!$D$279:$F$279</c:f>
              <c:numCache>
                <c:formatCode>#,##0</c:formatCode>
                <c:ptCount val="3"/>
                <c:pt idx="0">
                  <c:v>22335487</c:v>
                </c:pt>
                <c:pt idx="1">
                  <c:v>32799656</c:v>
                </c:pt>
                <c:pt idx="2">
                  <c:v>40415075.65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7517521"/>
        <c:axId val="28493849"/>
      </c:lineChart>
      <c:catAx>
        <c:axId val="7751752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28493849"/>
        <c:crosses val="autoZero"/>
        <c:auto val="1"/>
        <c:lblAlgn val="ctr"/>
        <c:lblOffset val="100"/>
        <c:noMultiLvlLbl val="0"/>
      </c:catAx>
      <c:valAx>
        <c:axId val="28493849"/>
        <c:scaling>
          <c:orientation val="minMax"/>
          <c:max val="60000000"/>
        </c:scaling>
        <c:delete val="0"/>
        <c:axPos val="l"/>
        <c:numFmt formatCode="\$0,,\M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77517521"/>
        <c:crosses val="autoZero"/>
        <c:crossBetween val="between"/>
        <c:majorUnit val="10000000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252603291904602"/>
          <c:y val="0.0574236143098419"/>
          <c:w val="0.680886798790729"/>
          <c:h val="0.8186191719125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Main!$A$237</c:f>
              <c:strCache>
                <c:ptCount val="1"/>
                <c:pt idx="0">
                  <c:v>Patient Visits</c:v>
                </c:pt>
              </c:strCache>
            </c:strRef>
          </c:tx>
          <c:spPr>
            <a:solidFill>
              <a:srgbClr val="B85C00">
                <a:alpha val="5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B85C00">
                  <a:alpha val="50000"/>
                </a:srgbClr>
              </a:solidFill>
              <a:ln w="0">
                <a:noFill/>
              </a:ln>
            </c:spPr>
          </c:dPt>
          <c:dPt>
            <c:idx val="30"/>
            <c:invertIfNegative val="0"/>
            <c:spPr>
              <a:solidFill>
                <a:srgbClr val="B85C00">
                  <a:alpha val="5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Main!$D$237:$AW$237</c:f>
              <c:numCache>
                <c:formatCode>#,##0</c:formatCode>
                <c:ptCount val="43"/>
                <c:pt idx="0">
                  <c:v>32454</c:v>
                </c:pt>
                <c:pt idx="1">
                  <c:v>10753</c:v>
                </c:pt>
                <c:pt idx="2">
                  <c:v>22778</c:v>
                </c:pt>
                <c:pt idx="3">
                  <c:v>35486</c:v>
                </c:pt>
                <c:pt idx="4">
                  <c:v>22802</c:v>
                </c:pt>
                <c:pt idx="5">
                  <c:v>52356</c:v>
                </c:pt>
                <c:pt idx="6">
                  <c:v>50878</c:v>
                </c:pt>
                <c:pt idx="7">
                  <c:v>11619</c:v>
                </c:pt>
                <c:pt idx="8">
                  <c:v>7629</c:v>
                </c:pt>
                <c:pt idx="9">
                  <c:v>13239</c:v>
                </c:pt>
                <c:pt idx="11">
                  <c:v>41555</c:v>
                </c:pt>
                <c:pt idx="12">
                  <c:v>19970</c:v>
                </c:pt>
                <c:pt idx="13">
                  <c:v>50784</c:v>
                </c:pt>
                <c:pt idx="14">
                  <c:v>6755</c:v>
                </c:pt>
                <c:pt idx="15">
                  <c:v>29045</c:v>
                </c:pt>
                <c:pt idx="16">
                  <c:v>16379</c:v>
                </c:pt>
                <c:pt idx="17">
                  <c:v>18003</c:v>
                </c:pt>
                <c:pt idx="18">
                  <c:v>10776</c:v>
                </c:pt>
                <c:pt idx="19">
                  <c:v>25153</c:v>
                </c:pt>
                <c:pt idx="20">
                  <c:v>6235</c:v>
                </c:pt>
                <c:pt idx="22">
                  <c:v>6099</c:v>
                </c:pt>
                <c:pt idx="23">
                  <c:v>26805</c:v>
                </c:pt>
                <c:pt idx="25">
                  <c:v>25973</c:v>
                </c:pt>
                <c:pt idx="26">
                  <c:v>24438</c:v>
                </c:pt>
                <c:pt idx="27">
                  <c:v>22067</c:v>
                </c:pt>
                <c:pt idx="28">
                  <c:v>24310</c:v>
                </c:pt>
                <c:pt idx="29">
                  <c:v>35397</c:v>
                </c:pt>
                <c:pt idx="30">
                  <c:v>24270</c:v>
                </c:pt>
                <c:pt idx="31">
                  <c:v>18443</c:v>
                </c:pt>
                <c:pt idx="33">
                  <c:v>18203</c:v>
                </c:pt>
                <c:pt idx="34">
                  <c:v>18859</c:v>
                </c:pt>
                <c:pt idx="35">
                  <c:v>22258</c:v>
                </c:pt>
                <c:pt idx="36">
                  <c:v>58733</c:v>
                </c:pt>
                <c:pt idx="37">
                  <c:v>17210</c:v>
                </c:pt>
                <c:pt idx="38">
                  <c:v>18227</c:v>
                </c:pt>
                <c:pt idx="39">
                  <c:v>30280</c:v>
                </c:pt>
                <c:pt idx="40">
                  <c:v>14350</c:v>
                </c:pt>
                <c:pt idx="41">
                  <c:v>3649</c:v>
                </c:pt>
                <c:pt idx="42">
                  <c:v>3680</c:v>
                </c:pt>
              </c:numCache>
            </c:numRef>
          </c:val>
        </c:ser>
        <c:ser>
          <c:idx val="1"/>
          <c:order val="1"/>
          <c:tx>
            <c:strRef>
              <c:f>Main!$A$125</c:f>
              <c:strCache>
                <c:ptCount val="1"/>
                <c:pt idx="0">
                  <c:v>Total Encounters</c:v>
                </c:pt>
              </c:strCache>
            </c:strRef>
          </c:tx>
          <c:spPr>
            <a:solidFill>
              <a:srgbClr val="B85C00">
                <a:alpha val="8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Main!$D$125:$AW$125</c:f>
              <c:numCache>
                <c:formatCode>#,##0</c:formatCode>
                <c:ptCount val="43"/>
                <c:pt idx="0">
                  <c:v>47235</c:v>
                </c:pt>
                <c:pt idx="1">
                  <c:v>17703</c:v>
                </c:pt>
                <c:pt idx="2">
                  <c:v>35278</c:v>
                </c:pt>
                <c:pt idx="3">
                  <c:v>55295</c:v>
                </c:pt>
                <c:pt idx="4">
                  <c:v>34991</c:v>
                </c:pt>
                <c:pt idx="5">
                  <c:v>91247</c:v>
                </c:pt>
                <c:pt idx="6">
                  <c:v>75328</c:v>
                </c:pt>
                <c:pt idx="7">
                  <c:v>15466</c:v>
                </c:pt>
                <c:pt idx="8">
                  <c:v>12489</c:v>
                </c:pt>
                <c:pt idx="9">
                  <c:v>19820</c:v>
                </c:pt>
                <c:pt idx="11">
                  <c:v>47412</c:v>
                </c:pt>
                <c:pt idx="12">
                  <c:v>26972</c:v>
                </c:pt>
                <c:pt idx="13">
                  <c:v>91778</c:v>
                </c:pt>
                <c:pt idx="14">
                  <c:v>7814</c:v>
                </c:pt>
                <c:pt idx="15">
                  <c:v>45526</c:v>
                </c:pt>
                <c:pt idx="16">
                  <c:v>22578</c:v>
                </c:pt>
                <c:pt idx="17">
                  <c:v>26964</c:v>
                </c:pt>
                <c:pt idx="18">
                  <c:v>18948</c:v>
                </c:pt>
                <c:pt idx="19">
                  <c:v>38745</c:v>
                </c:pt>
                <c:pt idx="20">
                  <c:v>9169</c:v>
                </c:pt>
                <c:pt idx="22">
                  <c:v>6194</c:v>
                </c:pt>
                <c:pt idx="23">
                  <c:v>30225</c:v>
                </c:pt>
                <c:pt idx="25">
                  <c:v>27016</c:v>
                </c:pt>
                <c:pt idx="26">
                  <c:v>60678</c:v>
                </c:pt>
                <c:pt idx="27">
                  <c:v>53792</c:v>
                </c:pt>
                <c:pt idx="28">
                  <c:v>69036</c:v>
                </c:pt>
                <c:pt idx="29">
                  <c:v>112258</c:v>
                </c:pt>
                <c:pt idx="30">
                  <c:v>69391</c:v>
                </c:pt>
                <c:pt idx="31">
                  <c:v>54019</c:v>
                </c:pt>
                <c:pt idx="33">
                  <c:v>29334</c:v>
                </c:pt>
                <c:pt idx="34">
                  <c:v>25678</c:v>
                </c:pt>
                <c:pt idx="35">
                  <c:v>25619</c:v>
                </c:pt>
                <c:pt idx="36">
                  <c:v>69918</c:v>
                </c:pt>
                <c:pt idx="37">
                  <c:v>25003</c:v>
                </c:pt>
                <c:pt idx="38">
                  <c:v>23720</c:v>
                </c:pt>
                <c:pt idx="39">
                  <c:v>45448</c:v>
                </c:pt>
                <c:pt idx="40">
                  <c:v>20503</c:v>
                </c:pt>
                <c:pt idx="41">
                  <c:v>4050</c:v>
                </c:pt>
                <c:pt idx="42">
                  <c:v>4229</c:v>
                </c:pt>
              </c:numCache>
            </c:numRef>
          </c:val>
        </c:ser>
        <c:gapWidth val="50"/>
        <c:overlap val="0"/>
        <c:axId val="89125896"/>
        <c:axId val="30199467"/>
      </c:barChart>
      <c:catAx>
        <c:axId val="8912589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30199467"/>
        <c:crosses val="autoZero"/>
        <c:auto val="1"/>
        <c:lblAlgn val="ctr"/>
        <c:lblOffset val="100"/>
        <c:noMultiLvlLbl val="0"/>
      </c:catAx>
      <c:valAx>
        <c:axId val="30199467"/>
        <c:scaling>
          <c:orientation val="minMax"/>
          <c:max val="100000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89125896"/>
        <c:crosses val="autoZero"/>
        <c:crossBetween val="midCat"/>
        <c:majorUnit val="25000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400" b="1" u="none" strike="noStrike">
                <a:solidFill>
                  <a:srgbClr val="808080"/>
                </a:solidFill>
                <a:uFillTx/>
                <a:latin typeface="Arial"/>
                <a:ea typeface="DejaVu Sans"/>
              </a:rPr>
              <a:t> Actual Costs</a:t>
            </a:r>
          </a:p>
        </c:rich>
      </c:tx>
      <c:layout>
        <c:manualLayout>
          <c:xMode val="edge"/>
          <c:yMode val="edge"/>
          <c:x val="0.000810208628721896"/>
          <c:y val="0.0043266630611141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823171966781"/>
          <c:y val="0.126960519199567"/>
          <c:w val="0.404597933967997"/>
          <c:h val="0.404948620876149"/>
        </c:manualLayout>
      </c:layout>
      <c:lineChart>
        <c:grouping val="standard"/>
        <c:varyColors val="0"/>
        <c:ser>
          <c:idx val="0"/>
          <c:order val="0"/>
          <c:tx>
            <c:strRef>
              <c:f>Main!$A$280</c:f>
              <c:strCache>
                <c:ptCount val="1"/>
                <c:pt idx="0">
                  <c:v>Nurse Practitioner</c:v>
                </c:pt>
              </c:strCache>
            </c:strRef>
          </c:tx>
          <c:spPr>
            <a:solidFill>
              <a:srgbClr val="2A6099">
                <a:alpha val="60000"/>
              </a:srgbClr>
            </a:solidFill>
            <a:ln w="72000">
              <a:solidFill>
                <a:srgbClr val="2A6099">
                  <a:alpha val="60000"/>
                </a:srgbClr>
              </a:solidFill>
              <a:round/>
            </a:ln>
          </c:spPr>
          <c:marker>
            <c:symbol val="circle"/>
            <c:size val="10"/>
            <c:spPr>
              <a:solidFill>
                <a:srgbClr val="2A6099"/>
              </a:solidFill>
            </c:spPr>
          </c:marker>
          <c:dPt>
            <c:idx val="2"/>
            <c:marker>
              <c:symbol val="circle"/>
              <c:size val="10"/>
              <c:spPr>
                <a:solidFill>
                  <a:srgbClr val="2A6099"/>
                </a:solidFill>
              </c:spPr>
            </c:marker>
          </c:dPt>
          <c:dLbls>
            <c:dLbl>
              <c:idx val="2"/>
              <c:layout>
                <c:manualLayout>
                  <c:x val="-0.0638039295118493"/>
                  <c:y val="0.00365062195781507"/>
                </c:manualLayout>
              </c:layout>
              <c:numFmt formatCode="[$$-1009]#,##0;[RED]\-[$$-1009]#,##0" sourceLinked="0"/>
              <c:txPr>
                <a:bodyPr wrap="none"/>
                <a:lstStyle/>
                <a:p>
                  <a:pPr>
                    <a:defRPr sz="1100" b="0" u="none" strike="noStrike">
                      <a:solidFill>
                        <a:srgbClr val="666666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Main!$D$280:$F$280</c:f>
              <c:numCache>
                <c:formatCode>#,##0</c:formatCode>
                <c:ptCount val="3"/>
                <c:pt idx="0">
                  <c:v>6748420</c:v>
                </c:pt>
                <c:pt idx="1">
                  <c:v>10493645</c:v>
                </c:pt>
                <c:pt idx="2">
                  <c:v>14229679.79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234303"/>
        <c:axId val="26728846"/>
      </c:lineChart>
      <c:catAx>
        <c:axId val="7123430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26728846"/>
        <c:crosses val="autoZero"/>
        <c:auto val="1"/>
        <c:lblAlgn val="ctr"/>
        <c:lblOffset val="100"/>
        <c:noMultiLvlLbl val="0"/>
      </c:catAx>
      <c:valAx>
        <c:axId val="26728846"/>
        <c:scaling>
          <c:orientation val="minMax"/>
          <c:max val="60000000"/>
        </c:scaling>
        <c:delete val="0"/>
        <c:axPos val="l"/>
        <c:numFmt formatCode="\$0,,\M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71234303"/>
        <c:crosses val="autoZero"/>
        <c:crossBetween val="between"/>
        <c:majorUnit val="10000000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400" b="1" u="none" strike="noStrike">
                <a:solidFill>
                  <a:srgbClr val="808080"/>
                </a:solidFill>
                <a:uFillTx/>
                <a:latin typeface="Arial"/>
                <a:ea typeface="DejaVu Sans"/>
              </a:rPr>
              <a:t> Actual Costs</a:t>
            </a:r>
          </a:p>
        </c:rich>
      </c:tx>
      <c:layout>
        <c:manualLayout>
          <c:xMode val="edge"/>
          <c:yMode val="edge"/>
          <c:x val="0.000810208628721896"/>
          <c:y val="0.0043266630611141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252987644318"/>
          <c:y val="0.134532179556517"/>
          <c:w val="0.404699210046587"/>
          <c:h val="0.405083829096809"/>
        </c:manualLayout>
      </c:layout>
      <c:lineChart>
        <c:grouping val="standard"/>
        <c:varyColors val="0"/>
        <c:ser>
          <c:idx val="0"/>
          <c:order val="0"/>
          <c:tx>
            <c:strRef>
              <c:f>Main!$A$295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B5E9B">
                <a:alpha val="60000"/>
              </a:srgbClr>
            </a:solidFill>
            <a:ln w="72000">
              <a:solidFill>
                <a:srgbClr val="6B5E9B">
                  <a:alpha val="60000"/>
                </a:srgbClr>
              </a:solidFill>
              <a:round/>
            </a:ln>
          </c:spPr>
          <c:marker>
            <c:symbol val="circle"/>
            <c:size val="10"/>
            <c:spPr>
              <a:solidFill>
                <a:srgbClr val="6B5E9B"/>
              </a:solidFill>
            </c:spPr>
          </c:marker>
          <c:dPt>
            <c:idx val="2"/>
            <c:marker>
              <c:symbol val="circle"/>
              <c:size val="10"/>
              <c:spPr>
                <a:solidFill>
                  <a:srgbClr val="6B5E9B"/>
                </a:solidFill>
              </c:spPr>
            </c:marker>
          </c:dPt>
          <c:dLbls>
            <c:dLbl>
              <c:idx val="2"/>
              <c:layout>
                <c:manualLayout>
                  <c:x val="-0.0638039295118493"/>
                  <c:y val="0.00365062195781507"/>
                </c:manualLayout>
              </c:layout>
              <c:numFmt formatCode="[$$-1009]#,##0;[RED]\-[$$-1009]#,##0" sourceLinked="0"/>
              <c:txPr>
                <a:bodyPr wrap="none"/>
                <a:lstStyle/>
                <a:p>
                  <a:pPr>
                    <a:defRPr sz="1100" b="0" u="none" strike="noStrike">
                      <a:solidFill>
                        <a:srgbClr val="666666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Main!$D$295:$F$295</c:f>
              <c:numCache>
                <c:formatCode>#,##0</c:formatCode>
                <c:ptCount val="3"/>
                <c:pt idx="0">
                  <c:v>11251564</c:v>
                </c:pt>
                <c:pt idx="1">
                  <c:v>9196874</c:v>
                </c:pt>
                <c:pt idx="2">
                  <c:v>11526734.51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5628483"/>
        <c:axId val="4694488"/>
      </c:lineChart>
      <c:catAx>
        <c:axId val="3562848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4694488"/>
        <c:crosses val="autoZero"/>
        <c:auto val="1"/>
        <c:lblAlgn val="ctr"/>
        <c:lblOffset val="100"/>
        <c:noMultiLvlLbl val="0"/>
      </c:catAx>
      <c:valAx>
        <c:axId val="4694488"/>
        <c:scaling>
          <c:orientation val="minMax"/>
          <c:max val="60000000"/>
        </c:scaling>
        <c:delete val="0"/>
        <c:axPos val="l"/>
        <c:numFmt formatCode="\$0,,\M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35628483"/>
        <c:crosses val="autoZero"/>
        <c:crossBetween val="between"/>
        <c:majorUnit val="10000000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400" b="1" u="none" strike="noStrike">
                <a:solidFill>
                  <a:srgbClr val="808080"/>
                </a:solidFill>
                <a:uFillTx/>
                <a:latin typeface="Arial"/>
                <a:ea typeface="DejaVu Sans"/>
              </a:rPr>
              <a:t>Costs as % Budgeted</a:t>
            </a:r>
          </a:p>
        </c:rich>
      </c:tx>
      <c:layout>
        <c:manualLayout>
          <c:xMode val="edge"/>
          <c:yMode val="edge"/>
          <c:x val="0.00594474880522205"/>
          <c:y val="0.0040961223375204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65438862338"/>
          <c:y val="0.130666302566903"/>
          <c:w val="0.465555426040331"/>
          <c:h val="0.408793009284544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808080"/>
            </a:solidFill>
            <a:ln w="28800">
              <a:solidFill>
                <a:srgbClr val="808080"/>
              </a:solidFill>
              <a:prstDash val="sysDot"/>
              <a:round/>
            </a:ln>
          </c:spPr>
          <c:marker>
            <c:symbol val="none"/>
          </c:marker>
          <c:dPt>
            <c:idx val="2"/>
            <c:marker>
              <c:symbol val="none"/>
            </c:marker>
          </c:dPt>
          <c:dLbls>
            <c:dLbl>
              <c:idx val="2"/>
              <c:numFmt formatCode="0.00%" sourceLinked="0"/>
              <c:txPr>
                <a:bodyPr wrap="none"/>
                <a:lstStyle/>
                <a:p>
                  <a:pPr>
                    <a:defRPr sz="800" b="0" u="none" strike="noStrike">
                      <a:solidFill>
                        <a:srgbClr val="999999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  <a:prstDash val="sysDot"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Main!$D$304:$F$304</c:f>
              <c:numCache>
                <c:formatCode>0.00%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Main!$A$297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B5E9B">
                <a:alpha val="60000"/>
              </a:srgbClr>
            </a:solidFill>
            <a:ln w="72000">
              <a:solidFill>
                <a:srgbClr val="6B5E9B">
                  <a:alpha val="60000"/>
                </a:srgbClr>
              </a:solidFill>
              <a:round/>
            </a:ln>
          </c:spPr>
          <c:marker>
            <c:symbol val="circle"/>
            <c:size val="10"/>
            <c:spPr>
              <a:solidFill>
                <a:srgbClr val="6B5E9B"/>
              </a:solidFill>
            </c:spPr>
          </c:marker>
          <c:dPt>
            <c:idx val="2"/>
            <c:marker>
              <c:symbol val="circle"/>
              <c:size val="10"/>
              <c:spPr>
                <a:solidFill>
                  <a:srgbClr val="6B5E9B"/>
                </a:solidFill>
              </c:spPr>
            </c:marker>
          </c:dPt>
          <c:dLbls>
            <c:dLbl>
              <c:idx val="2"/>
              <c:numFmt formatCode="0.00%" sourceLinked="0"/>
              <c:txPr>
                <a:bodyPr wrap="none"/>
                <a:lstStyle/>
                <a:p>
                  <a:pPr>
                    <a:defRPr sz="1100" b="0" u="none" strike="noStrike">
                      <a:solidFill>
                        <a:srgbClr val="666666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720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Main!$D$297:$F$297</c:f>
              <c:numCache>
                <c:formatCode>0.00%</c:formatCode>
                <c:ptCount val="3"/>
                <c:pt idx="0">
                  <c:v>0.715430361835996</c:v>
                </c:pt>
                <c:pt idx="1">
                  <c:v>0.597449142395057</c:v>
                </c:pt>
                <c:pt idx="2">
                  <c:v>0.734492901675636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160924"/>
        <c:axId val="31389014"/>
      </c:lineChart>
      <c:catAx>
        <c:axId val="21609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31389014"/>
        <c:crosses val="autoZero"/>
        <c:auto val="1"/>
        <c:lblAlgn val="ctr"/>
        <c:lblOffset val="100"/>
        <c:noMultiLvlLbl val="0"/>
      </c:catAx>
      <c:valAx>
        <c:axId val="31389014"/>
        <c:scaling>
          <c:orientation val="minMax"/>
          <c:max val="1.6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2160924"/>
        <c:crosses val="autoZero"/>
        <c:crossBetween val="between"/>
        <c:majorUnit val="0.2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318029700899393"/>
          <c:y val="0.0709923265647022"/>
          <c:w val="0.522589416440075"/>
          <c:h val="0.8349950409771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Main!$C$92</c:f>
              <c:strCache>
                <c:ptCount val="1"/>
                <c:pt idx="0">
                  <c:v>$ Budgeted</c:v>
                </c:pt>
              </c:strCache>
            </c:strRef>
          </c:tx>
          <c:spPr>
            <a:solidFill>
              <a:srgbClr val="6B5E9B">
                <a:alpha val="3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6B5E9B">
                  <a:alpha val="3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Main!$D$92:$AW$92</c:f>
              <c:numCache>
                <c:formatCode>#,##0</c:formatCode>
                <c:ptCount val="43"/>
                <c:pt idx="0">
                  <c:v>198000</c:v>
                </c:pt>
                <c:pt idx="1">
                  <c:v>364894.35</c:v>
                </c:pt>
                <c:pt idx="2">
                  <c:v>309058.26</c:v>
                </c:pt>
                <c:pt idx="3">
                  <c:v>320698.43</c:v>
                </c:pt>
                <c:pt idx="4">
                  <c:v>213698.26</c:v>
                </c:pt>
                <c:pt idx="5">
                  <c:v>341333.33</c:v>
                </c:pt>
                <c:pt idx="6">
                  <c:v>479961.93</c:v>
                </c:pt>
                <c:pt idx="7">
                  <c:v>49644.4</c:v>
                </c:pt>
                <c:pt idx="8">
                  <c:v>49644.4</c:v>
                </c:pt>
                <c:pt idx="9">
                  <c:v>460204.4</c:v>
                </c:pt>
                <c:pt idx="11">
                  <c:v>529258.18</c:v>
                </c:pt>
                <c:pt idx="12">
                  <c:v>552517.83</c:v>
                </c:pt>
                <c:pt idx="13">
                  <c:v>484731.09</c:v>
                </c:pt>
                <c:pt idx="14">
                  <c:v>563781.74</c:v>
                </c:pt>
                <c:pt idx="15">
                  <c:v>890565</c:v>
                </c:pt>
                <c:pt idx="16">
                  <c:v>459429</c:v>
                </c:pt>
                <c:pt idx="17">
                  <c:v>495820</c:v>
                </c:pt>
                <c:pt idx="18">
                  <c:v>319060</c:v>
                </c:pt>
                <c:pt idx="19">
                  <c:v>887556.1</c:v>
                </c:pt>
                <c:pt idx="20">
                  <c:v>856119</c:v>
                </c:pt>
                <c:pt idx="22">
                  <c:v>101136.05</c:v>
                </c:pt>
                <c:pt idx="23">
                  <c:v>266267.02</c:v>
                </c:pt>
                <c:pt idx="25">
                  <c:v>329787.27</c:v>
                </c:pt>
                <c:pt idx="26">
                  <c:v>204000</c:v>
                </c:pt>
                <c:pt idx="27">
                  <c:v>0</c:v>
                </c:pt>
                <c:pt idx="28">
                  <c:v>175490</c:v>
                </c:pt>
                <c:pt idx="29">
                  <c:v>339200</c:v>
                </c:pt>
                <c:pt idx="30">
                  <c:v>162610</c:v>
                </c:pt>
                <c:pt idx="31">
                  <c:v>705596.34</c:v>
                </c:pt>
                <c:pt idx="33">
                  <c:v>323024.11</c:v>
                </c:pt>
                <c:pt idx="34">
                  <c:v>524190.2</c:v>
                </c:pt>
                <c:pt idx="35">
                  <c:v>394806.32</c:v>
                </c:pt>
                <c:pt idx="36">
                  <c:v>626157.77</c:v>
                </c:pt>
                <c:pt idx="37">
                  <c:v>315529.32</c:v>
                </c:pt>
                <c:pt idx="38">
                  <c:v>420547.4</c:v>
                </c:pt>
                <c:pt idx="39">
                  <c:v>317418.58</c:v>
                </c:pt>
                <c:pt idx="40">
                  <c:v>341804.4</c:v>
                </c:pt>
                <c:pt idx="41">
                  <c:v>49644.4</c:v>
                </c:pt>
                <c:pt idx="42">
                  <c:v>45700.05</c:v>
                </c:pt>
              </c:numCache>
            </c:numRef>
          </c:val>
        </c:ser>
        <c:ser>
          <c:idx val="1"/>
          <c:order val="1"/>
          <c:tx>
            <c:strRef>
              <c:f>Main!$C$93</c:f>
              <c:strCache>
                <c:ptCount val="1"/>
                <c:pt idx="0">
                  <c:v>$ Actual</c:v>
                </c:pt>
              </c:strCache>
            </c:strRef>
          </c:tx>
          <c:spPr>
            <a:solidFill>
              <a:srgbClr val="6B5E9B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Main!$D$93:$AW$93</c:f>
              <c:numCache>
                <c:formatCode>#,##0</c:formatCode>
                <c:ptCount val="43"/>
                <c:pt idx="0">
                  <c:v>180866.18</c:v>
                </c:pt>
                <c:pt idx="1">
                  <c:v>236330.35</c:v>
                </c:pt>
                <c:pt idx="2">
                  <c:v>285217.11</c:v>
                </c:pt>
                <c:pt idx="3">
                  <c:v>336502.48</c:v>
                </c:pt>
                <c:pt idx="4">
                  <c:v>203596.59</c:v>
                </c:pt>
                <c:pt idx="5">
                  <c:v>374875.31</c:v>
                </c:pt>
                <c:pt idx="6">
                  <c:v>408919.5</c:v>
                </c:pt>
                <c:pt idx="7">
                  <c:v>36641.25</c:v>
                </c:pt>
                <c:pt idx="8">
                  <c:v>44234.61</c:v>
                </c:pt>
                <c:pt idx="9">
                  <c:v>224913.12</c:v>
                </c:pt>
                <c:pt idx="11">
                  <c:v>518668.31</c:v>
                </c:pt>
                <c:pt idx="12">
                  <c:v>643221.98</c:v>
                </c:pt>
                <c:pt idx="13">
                  <c:v>546344.17</c:v>
                </c:pt>
                <c:pt idx="14">
                  <c:v>452252.16</c:v>
                </c:pt>
                <c:pt idx="15">
                  <c:v>805376.43</c:v>
                </c:pt>
                <c:pt idx="16">
                  <c:v>362558.23</c:v>
                </c:pt>
                <c:pt idx="17">
                  <c:v>311162.52</c:v>
                </c:pt>
                <c:pt idx="18">
                  <c:v>108180.53</c:v>
                </c:pt>
                <c:pt idx="19">
                  <c:v>574823.86</c:v>
                </c:pt>
                <c:pt idx="20">
                  <c:v>107988.77</c:v>
                </c:pt>
                <c:pt idx="22">
                  <c:v>106687</c:v>
                </c:pt>
                <c:pt idx="23">
                  <c:v>331927</c:v>
                </c:pt>
                <c:pt idx="25">
                  <c:v>0</c:v>
                </c:pt>
                <c:pt idx="26">
                  <c:v>166324</c:v>
                </c:pt>
                <c:pt idx="27">
                  <c:v>0</c:v>
                </c:pt>
                <c:pt idx="28">
                  <c:v>195585</c:v>
                </c:pt>
                <c:pt idx="29">
                  <c:v>271999</c:v>
                </c:pt>
                <c:pt idx="30">
                  <c:v>133129</c:v>
                </c:pt>
                <c:pt idx="31">
                  <c:v>422396</c:v>
                </c:pt>
                <c:pt idx="33">
                  <c:v>229885</c:v>
                </c:pt>
                <c:pt idx="34">
                  <c:v>381454</c:v>
                </c:pt>
                <c:pt idx="35">
                  <c:v>284191</c:v>
                </c:pt>
                <c:pt idx="36">
                  <c:v>542776</c:v>
                </c:pt>
                <c:pt idx="37">
                  <c:v>416360</c:v>
                </c:pt>
                <c:pt idx="38">
                  <c:v>547200</c:v>
                </c:pt>
                <c:pt idx="39">
                  <c:v>336037</c:v>
                </c:pt>
                <c:pt idx="40">
                  <c:v>223213.39</c:v>
                </c:pt>
                <c:pt idx="41">
                  <c:v>46022.29</c:v>
                </c:pt>
                <c:pt idx="42">
                  <c:v>46411.56</c:v>
                </c:pt>
              </c:numCache>
            </c:numRef>
          </c:val>
        </c:ser>
        <c:gapWidth val="50"/>
        <c:overlap val="0"/>
        <c:axId val="58396449"/>
        <c:axId val="77956265"/>
      </c:barChart>
      <c:catAx>
        <c:axId val="58396449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77956265"/>
        <c:crosses val="autoZero"/>
        <c:auto val="1"/>
        <c:lblAlgn val="ctr"/>
        <c:lblOffset val="100"/>
        <c:noMultiLvlLbl val="0"/>
      </c:catAx>
      <c:valAx>
        <c:axId val="77956265"/>
        <c:scaling>
          <c:orientation val="minMax"/>
          <c:max val="3000000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\$0,,\M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58396449"/>
        <c:crosses val="autoZero"/>
        <c:crossBetween val="midCat"/>
        <c:majorUnit val="1000000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232112290311537"/>
          <c:y val="0.0415565830030823"/>
          <c:w val="0.570352618966107"/>
          <c:h val="0.880504183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Main!$C$102</c:f>
              <c:strCache>
                <c:ptCount val="1"/>
                <c:pt idx="0">
                  <c:v>%Budgeted</c:v>
                </c:pt>
              </c:strCache>
            </c:strRef>
          </c:tx>
          <c:spPr>
            <a:solidFill>
              <a:srgbClr val="6B5E9B">
                <a:alpha val="5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6B5E9B">
                  <a:alpha val="50000"/>
                </a:srgbClr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6B5E9B">
                  <a:alpha val="50000"/>
                </a:srgbClr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6B5E9B">
                  <a:alpha val="50000"/>
                </a:srgbClr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6B5E9B">
                  <a:alpha val="50000"/>
                </a:srgbClr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6B5E9B">
                  <a:alpha val="50000"/>
                </a:srgbClr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6B5E9B">
                  <a:alpha val="50000"/>
                </a:srgbClr>
              </a:solidFill>
              <a:ln w="0">
                <a:noFill/>
              </a:ln>
            </c:spPr>
          </c:dPt>
          <c:dPt>
            <c:idx val="25"/>
            <c:invertIfNegative val="0"/>
            <c:spPr>
              <a:solidFill>
                <a:srgbClr val="6B5E9B">
                  <a:alpha val="50000"/>
                </a:srgbClr>
              </a:solidFill>
              <a:ln w="0">
                <a:noFill/>
              </a:ln>
            </c:spPr>
          </c:dPt>
          <c:dPt>
            <c:idx val="26"/>
            <c:invertIfNegative val="0"/>
            <c:spPr>
              <a:solidFill>
                <a:srgbClr val="6B5E9B">
                  <a:alpha val="50000"/>
                </a:srgbClr>
              </a:solidFill>
              <a:ln w="0">
                <a:noFill/>
              </a:ln>
            </c:spPr>
          </c:dPt>
          <c:dPt>
            <c:idx val="33"/>
            <c:invertIfNegative val="0"/>
            <c:spPr>
              <a:solidFill>
                <a:srgbClr val="6B5E9B">
                  <a:alpha val="50000"/>
                </a:srgbClr>
              </a:solidFill>
              <a:ln w="0">
                <a:noFill/>
              </a:ln>
            </c:spPr>
          </c:dPt>
          <c:dPt>
            <c:idx val="36"/>
            <c:invertIfNegative val="0"/>
            <c:spPr>
              <a:solidFill>
                <a:srgbClr val="6B5E9B">
                  <a:alpha val="50000"/>
                </a:srgbClr>
              </a:solidFill>
              <a:ln w="0">
                <a:noFill/>
              </a:ln>
            </c:spPr>
          </c:dPt>
          <c:dPt>
            <c:idx val="40"/>
            <c:invertIfNegative val="0"/>
            <c:spPr>
              <a:solidFill>
                <a:srgbClr val="6B5E9B">
                  <a:alpha val="50000"/>
                </a:srgbClr>
              </a:solidFill>
              <a:ln w="0">
                <a:noFill/>
              </a:ln>
            </c:spPr>
          </c:dPt>
          <c:dPt>
            <c:idx val="42"/>
            <c:invertIfNegative val="0"/>
            <c:spPr>
              <a:solidFill>
                <a:srgbClr val="6B5E9B">
                  <a:alpha val="5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8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9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5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6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3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6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0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2"/>
              <c:txPr>
                <a:bodyPr wrap="none"/>
                <a:lstStyle/>
                <a:p>
                  <a:pPr>
                    <a:defRPr sz="9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900" b="0" u="none" strike="noStrike">
                    <a:solidFill>
                      <a:srgbClr val="80808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Main!$D$102:$AW$102</c:f>
              <c:numCache>
                <c:formatCode>0.00%</c:formatCode>
                <c:ptCount val="43"/>
                <c:pt idx="0">
                  <c:v>0.913465555555556</c:v>
                </c:pt>
                <c:pt idx="1">
                  <c:v>0.647667879757524</c:v>
                </c:pt>
                <c:pt idx="2">
                  <c:v>0.922858719258951</c:v>
                </c:pt>
                <c:pt idx="3">
                  <c:v>1.04928009781651</c:v>
                </c:pt>
                <c:pt idx="4">
                  <c:v>0.952729282868284</c:v>
                </c:pt>
                <c:pt idx="5">
                  <c:v>1.09826752049089</c:v>
                </c:pt>
                <c:pt idx="6">
                  <c:v>0.851983197917385</c:v>
                </c:pt>
                <c:pt idx="7">
                  <c:v>0.738074183593719</c:v>
                </c:pt>
                <c:pt idx="8">
                  <c:v>0.891029199668039</c:v>
                </c:pt>
                <c:pt idx="9">
                  <c:v>0.488724401591988</c:v>
                </c:pt>
                <c:pt idx="11">
                  <c:v>0.979991107553595</c:v>
                </c:pt>
                <c:pt idx="12">
                  <c:v>1.16416510938661</c:v>
                </c:pt>
                <c:pt idx="13">
                  <c:v>1.12710775370319</c:v>
                </c:pt>
                <c:pt idx="14">
                  <c:v>0.802175962634051</c:v>
                </c:pt>
                <c:pt idx="15">
                  <c:v>0.90434323154402</c:v>
                </c:pt>
                <c:pt idx="16">
                  <c:v>0.789149640096729</c:v>
                </c:pt>
                <c:pt idx="17">
                  <c:v>0.627571538058166</c:v>
                </c:pt>
                <c:pt idx="18">
                  <c:v>0.339060145427192</c:v>
                </c:pt>
                <c:pt idx="19">
                  <c:v>0.647647917692189</c:v>
                </c:pt>
                <c:pt idx="20">
                  <c:v>0.126137569660293</c:v>
                </c:pt>
                <c:pt idx="22">
                  <c:v>1.05488596796098</c:v>
                </c:pt>
                <c:pt idx="23">
                  <c:v>1.2465944899973</c:v>
                </c:pt>
                <c:pt idx="25">
                  <c:v>0</c:v>
                </c:pt>
                <c:pt idx="26">
                  <c:v>0.815313725490196</c:v>
                </c:pt>
                <c:pt idx="28">
                  <c:v>1.11450794917089</c:v>
                </c:pt>
                <c:pt idx="29">
                  <c:v>0.801883844339623</c:v>
                </c:pt>
                <c:pt idx="30">
                  <c:v>0.818701186888875</c:v>
                </c:pt>
                <c:pt idx="31">
                  <c:v>0.598636892022427</c:v>
                </c:pt>
                <c:pt idx="33">
                  <c:v>0.711665144747245</c:v>
                </c:pt>
                <c:pt idx="34">
                  <c:v>0.727701509871798</c:v>
                </c:pt>
                <c:pt idx="35">
                  <c:v>0.71982383665996</c:v>
                </c:pt>
                <c:pt idx="36">
                  <c:v>0.866835845540973</c:v>
                </c:pt>
                <c:pt idx="37">
                  <c:v>1.31956041359326</c:v>
                </c:pt>
                <c:pt idx="38">
                  <c:v>1.30116129596806</c:v>
                </c:pt>
                <c:pt idx="39">
                  <c:v>1.0586557346454</c:v>
                </c:pt>
                <c:pt idx="40">
                  <c:v>0.653044226464025</c:v>
                </c:pt>
                <c:pt idx="41">
                  <c:v>0.927038900661505</c:v>
                </c:pt>
                <c:pt idx="42">
                  <c:v>1.01556912957426</c:v>
                </c:pt>
              </c:numCache>
            </c:numRef>
          </c:val>
        </c:ser>
        <c:gapWidth val="20"/>
        <c:overlap val="0"/>
        <c:axId val="6648145"/>
        <c:axId val="51374107"/>
      </c:barChart>
      <c:catAx>
        <c:axId val="6648145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51374107"/>
        <c:crosses val="autoZero"/>
        <c:auto val="1"/>
        <c:lblAlgn val="ctr"/>
        <c:lblOffset val="100"/>
        <c:noMultiLvlLbl val="0"/>
      </c:catAx>
      <c:valAx>
        <c:axId val="51374107"/>
        <c:scaling>
          <c:orientation val="minMax"/>
          <c:max val="3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6648145"/>
        <c:crosses val="autoZero"/>
        <c:crossBetween val="midCat"/>
        <c:majorUnit val="1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317925120267726"/>
          <c:y val="0.0709401263245811"/>
          <c:w val="0.41800878477306"/>
          <c:h val="0.835047241217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Main!$C$104</c:f>
              <c:strCache>
                <c:ptCount val="1"/>
                <c:pt idx="0">
                  <c:v>%FTE Approved</c:v>
                </c:pt>
              </c:strCache>
            </c:strRef>
          </c:tx>
          <c:spPr>
            <a:solidFill>
              <a:srgbClr val="2A6099">
                <a:alpha val="3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2A6099">
                  <a:alpha val="3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Main!$D$104:$AW$104</c:f>
              <c:numCache>
                <c:formatCode>0.00%</c:formatCode>
                <c:ptCount val="43"/>
                <c:pt idx="0">
                  <c:v>0.321100917431193</c:v>
                </c:pt>
                <c:pt idx="1">
                  <c:v>1</c:v>
                </c:pt>
                <c:pt idx="2">
                  <c:v>0.605769230769231</c:v>
                </c:pt>
                <c:pt idx="3">
                  <c:v>0.561224489795918</c:v>
                </c:pt>
                <c:pt idx="4">
                  <c:v>0.552</c:v>
                </c:pt>
                <c:pt idx="5">
                  <c:v>0.669291338582677</c:v>
                </c:pt>
                <c:pt idx="6">
                  <c:v>0.61711079943899</c:v>
                </c:pt>
                <c:pt idx="7">
                  <c:v>1</c:v>
                </c:pt>
                <c:pt idx="8">
                  <c:v>0.648854961832061</c:v>
                </c:pt>
                <c:pt idx="9">
                  <c:v>0.87719298245614</c:v>
                </c:pt>
                <c:pt idx="11">
                  <c:v>0.902548725637181</c:v>
                </c:pt>
                <c:pt idx="12">
                  <c:v>0.691304347826087</c:v>
                </c:pt>
                <c:pt idx="13">
                  <c:v>1</c:v>
                </c:pt>
                <c:pt idx="15">
                  <c:v>0.915492957746479</c:v>
                </c:pt>
                <c:pt idx="16">
                  <c:v>0.552</c:v>
                </c:pt>
                <c:pt idx="17">
                  <c:v>0.369047619047619</c:v>
                </c:pt>
                <c:pt idx="18">
                  <c:v>0.899497487437186</c:v>
                </c:pt>
                <c:pt idx="19">
                  <c:v>0.468123861566484</c:v>
                </c:pt>
                <c:pt idx="20">
                  <c:v>0.0641509433962264</c:v>
                </c:pt>
                <c:pt idx="22">
                  <c:v>1.2</c:v>
                </c:pt>
                <c:pt idx="23">
                  <c:v>0</c:v>
                </c:pt>
                <c:pt idx="25">
                  <c:v>2.32783018867925</c:v>
                </c:pt>
                <c:pt idx="26">
                  <c:v>1.38256658595642</c:v>
                </c:pt>
                <c:pt idx="27">
                  <c:v>1</c:v>
                </c:pt>
                <c:pt idx="28">
                  <c:v>1.15291750503018</c:v>
                </c:pt>
                <c:pt idx="29">
                  <c:v>0.893406593406594</c:v>
                </c:pt>
                <c:pt idx="30">
                  <c:v>0.974248927038627</c:v>
                </c:pt>
                <c:pt idx="31">
                  <c:v>1.1301652892562</c:v>
                </c:pt>
                <c:pt idx="33">
                  <c:v>0.833333333333333</c:v>
                </c:pt>
                <c:pt idx="34">
                  <c:v>1</c:v>
                </c:pt>
                <c:pt idx="35">
                  <c:v>0.833333333333333</c:v>
                </c:pt>
                <c:pt idx="36">
                  <c:v>0.933333333333333</c:v>
                </c:pt>
                <c:pt idx="37">
                  <c:v>0.606060606060606</c:v>
                </c:pt>
                <c:pt idx="38">
                  <c:v>0.631578947368421</c:v>
                </c:pt>
                <c:pt idx="39">
                  <c:v>0.928571428571429</c:v>
                </c:pt>
                <c:pt idx="40">
                  <c:v>1.5</c:v>
                </c:pt>
                <c:pt idx="41">
                  <c:v>1</c:v>
                </c:pt>
                <c:pt idx="42">
                  <c:v>1</c:v>
                </c:pt>
              </c:numCache>
            </c:numRef>
          </c:val>
        </c:ser>
        <c:ser>
          <c:idx val="1"/>
          <c:order val="1"/>
          <c:tx>
            <c:strRef>
              <c:f>Main!$C$95</c:f>
              <c:strCache>
                <c:ptCount val="1"/>
                <c:pt idx="0">
                  <c:v>%Budgeted</c:v>
                </c:pt>
              </c:strCache>
            </c:strRef>
          </c:tx>
          <c:spPr>
            <a:solidFill>
              <a:srgbClr val="2A6099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Main!$D$95:$AW$95</c:f>
              <c:numCache>
                <c:formatCode>0.00%</c:formatCode>
                <c:ptCount val="43"/>
                <c:pt idx="0">
                  <c:v>0.790439607686243</c:v>
                </c:pt>
                <c:pt idx="1">
                  <c:v>0.968926436837519</c:v>
                </c:pt>
                <c:pt idx="2">
                  <c:v>0.844251663862579</c:v>
                </c:pt>
                <c:pt idx="3">
                  <c:v>0.740341991985864</c:v>
                </c:pt>
                <c:pt idx="4">
                  <c:v>0.638714565273772</c:v>
                </c:pt>
                <c:pt idx="5">
                  <c:v>1.35110267115862</c:v>
                </c:pt>
                <c:pt idx="6">
                  <c:v>0.837968887636452</c:v>
                </c:pt>
                <c:pt idx="7">
                  <c:v>0.655749461201445</c:v>
                </c:pt>
                <c:pt idx="8">
                  <c:v>0.430765650453805</c:v>
                </c:pt>
                <c:pt idx="9">
                  <c:v>0.0649138386800836</c:v>
                </c:pt>
                <c:pt idx="11">
                  <c:v>1.11649411206919</c:v>
                </c:pt>
                <c:pt idx="12">
                  <c:v>0.802121564540793</c:v>
                </c:pt>
                <c:pt idx="13">
                  <c:v>1.6288802487837</c:v>
                </c:pt>
                <c:pt idx="15">
                  <c:v>1.23453403439475</c:v>
                </c:pt>
                <c:pt idx="16">
                  <c:v>0.628414267695447</c:v>
                </c:pt>
                <c:pt idx="17">
                  <c:v>0.347038760804505</c:v>
                </c:pt>
                <c:pt idx="18">
                  <c:v>1.08779812608997</c:v>
                </c:pt>
                <c:pt idx="19">
                  <c:v>0.522791883067372</c:v>
                </c:pt>
                <c:pt idx="20">
                  <c:v>0.035661888705408</c:v>
                </c:pt>
                <c:pt idx="22">
                  <c:v>1.38238254016369</c:v>
                </c:pt>
                <c:pt idx="23">
                  <c:v>1.65961497954154</c:v>
                </c:pt>
                <c:pt idx="25">
                  <c:v>2.32949236326148</c:v>
                </c:pt>
                <c:pt idx="26">
                  <c:v>1.3826468639576</c:v>
                </c:pt>
                <c:pt idx="28">
                  <c:v>1.15233015970565</c:v>
                </c:pt>
                <c:pt idx="29">
                  <c:v>0.8929338818158</c:v>
                </c:pt>
                <c:pt idx="30">
                  <c:v>0.974237460014206</c:v>
                </c:pt>
                <c:pt idx="31">
                  <c:v>0.999740785692724</c:v>
                </c:pt>
                <c:pt idx="33">
                  <c:v>0.729601004987326</c:v>
                </c:pt>
                <c:pt idx="34">
                  <c:v>0.0796499253788296</c:v>
                </c:pt>
                <c:pt idx="35">
                  <c:v>1.06955690055354</c:v>
                </c:pt>
                <c:pt idx="36">
                  <c:v>1.2147214960958</c:v>
                </c:pt>
                <c:pt idx="37">
                  <c:v>0.676687741958956</c:v>
                </c:pt>
                <c:pt idx="38">
                  <c:v>0.53291713590942</c:v>
                </c:pt>
                <c:pt idx="39">
                  <c:v>1.11332372345377</c:v>
                </c:pt>
                <c:pt idx="41">
                  <c:v>0.392069014965991</c:v>
                </c:pt>
                <c:pt idx="42">
                  <c:v>0.266205742534176</c:v>
                </c:pt>
              </c:numCache>
            </c:numRef>
          </c:val>
        </c:ser>
        <c:gapWidth val="50"/>
        <c:overlap val="0"/>
        <c:axId val="92211220"/>
        <c:axId val="17329072"/>
      </c:barChart>
      <c:catAx>
        <c:axId val="9221122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17329072"/>
        <c:crosses val="autoZero"/>
        <c:auto val="1"/>
        <c:lblAlgn val="ctr"/>
        <c:lblOffset val="100"/>
        <c:noMultiLvlLbl val="0"/>
      </c:catAx>
      <c:valAx>
        <c:axId val="17329072"/>
        <c:scaling>
          <c:orientation val="minMax"/>
          <c:max val="2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92211220"/>
        <c:crosses val="autoZero"/>
        <c:crossBetween val="midCat"/>
        <c:majorUnit val="0.5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317925120267726"/>
          <c:y val="0.0709401263245811"/>
          <c:w val="0.41800878477306"/>
          <c:h val="0.835047241217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Main!$C$106</c:f>
              <c:strCache>
                <c:ptCount val="1"/>
                <c:pt idx="0">
                  <c:v>%FTE Approved</c:v>
                </c:pt>
              </c:strCache>
            </c:strRef>
          </c:tx>
          <c:spPr>
            <a:solidFill>
              <a:srgbClr val="158466">
                <a:alpha val="3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158466">
                  <a:alpha val="3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Main!$D$106:$AW$106</c:f>
              <c:numCache>
                <c:formatCode>0.00%</c:formatCode>
                <c:ptCount val="4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1.08557046979866</c:v>
                </c:pt>
                <c:pt idx="4">
                  <c:v>1.08221476510067</c:v>
                </c:pt>
                <c:pt idx="5">
                  <c:v>1.01201716738197</c:v>
                </c:pt>
                <c:pt idx="6">
                  <c:v>0.967438494934877</c:v>
                </c:pt>
                <c:pt idx="7">
                  <c:v>1</c:v>
                </c:pt>
                <c:pt idx="8">
                  <c:v>1.02534113060429</c:v>
                </c:pt>
                <c:pt idx="9">
                  <c:v>0.889948006932409</c:v>
                </c:pt>
                <c:pt idx="11">
                  <c:v>0.990344827586207</c:v>
                </c:pt>
                <c:pt idx="12">
                  <c:v>0.726078799249531</c:v>
                </c:pt>
                <c:pt idx="13">
                  <c:v>0.964556962025317</c:v>
                </c:pt>
                <c:pt idx="14">
                  <c:v>0.972049689440994</c:v>
                </c:pt>
                <c:pt idx="15">
                  <c:v>1.27804107424961</c:v>
                </c:pt>
                <c:pt idx="16">
                  <c:v>0.990990990990991</c:v>
                </c:pt>
                <c:pt idx="17">
                  <c:v>0.991701244813278</c:v>
                </c:pt>
                <c:pt idx="18">
                  <c:v>0.733487833140209</c:v>
                </c:pt>
                <c:pt idx="19">
                  <c:v>1.0282012195122</c:v>
                </c:pt>
                <c:pt idx="20">
                  <c:v>0.919317300232739</c:v>
                </c:pt>
                <c:pt idx="22">
                  <c:v>0.681208053691275</c:v>
                </c:pt>
                <c:pt idx="23">
                  <c:v>1.05774647887324</c:v>
                </c:pt>
                <c:pt idx="25">
                  <c:v>1.23823823823824</c:v>
                </c:pt>
                <c:pt idx="26">
                  <c:v>1.2703081232493</c:v>
                </c:pt>
                <c:pt idx="27">
                  <c:v>1</c:v>
                </c:pt>
                <c:pt idx="28">
                  <c:v>0.809090909090909</c:v>
                </c:pt>
                <c:pt idx="29">
                  <c:v>0.998165137614679</c:v>
                </c:pt>
                <c:pt idx="30">
                  <c:v>0.802404207362885</c:v>
                </c:pt>
                <c:pt idx="31">
                  <c:v>0.83304347826087</c:v>
                </c:pt>
                <c:pt idx="33">
                  <c:v>1.01063829787234</c:v>
                </c:pt>
                <c:pt idx="34">
                  <c:v>0.388652482269504</c:v>
                </c:pt>
                <c:pt idx="35">
                  <c:v>0.904255319148936</c:v>
                </c:pt>
                <c:pt idx="36">
                  <c:v>0.99935107073329</c:v>
                </c:pt>
                <c:pt idx="37">
                  <c:v>0.766666666666667</c:v>
                </c:pt>
                <c:pt idx="38">
                  <c:v>0.885416666666667</c:v>
                </c:pt>
                <c:pt idx="39">
                  <c:v>1.01073345259392</c:v>
                </c:pt>
                <c:pt idx="40">
                  <c:v>0.997987927565393</c:v>
                </c:pt>
                <c:pt idx="41">
                  <c:v>0.554913294797688</c:v>
                </c:pt>
                <c:pt idx="42">
                  <c:v>1.79347826086957</c:v>
                </c:pt>
              </c:numCache>
            </c:numRef>
          </c:val>
        </c:ser>
        <c:ser>
          <c:idx val="1"/>
          <c:order val="1"/>
          <c:tx>
            <c:strRef>
              <c:f>Main!$C$98</c:f>
              <c:strCache>
                <c:ptCount val="1"/>
                <c:pt idx="0">
                  <c:v>%Budgeted</c:v>
                </c:pt>
              </c:strCache>
            </c:strRef>
          </c:tx>
          <c:spPr>
            <a:solidFill>
              <a:srgbClr val="1584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1584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Main!$D$98:$AW$98</c:f>
              <c:numCache>
                <c:formatCode>0.00%</c:formatCode>
                <c:ptCount val="43"/>
                <c:pt idx="0">
                  <c:v>1.18346328849395</c:v>
                </c:pt>
                <c:pt idx="1">
                  <c:v>1.90576621844749</c:v>
                </c:pt>
                <c:pt idx="2">
                  <c:v>1.1951487727515</c:v>
                </c:pt>
                <c:pt idx="3">
                  <c:v>1.64496539862592</c:v>
                </c:pt>
                <c:pt idx="4">
                  <c:v>1.76750960839048</c:v>
                </c:pt>
                <c:pt idx="5">
                  <c:v>1.41079507444067</c:v>
                </c:pt>
                <c:pt idx="6">
                  <c:v>1.35566792202881</c:v>
                </c:pt>
                <c:pt idx="7">
                  <c:v>1.37472542176769</c:v>
                </c:pt>
                <c:pt idx="8">
                  <c:v>1.24375885604422</c:v>
                </c:pt>
                <c:pt idx="9">
                  <c:v>1.13342163098805</c:v>
                </c:pt>
                <c:pt idx="11">
                  <c:v>1.99731149897179</c:v>
                </c:pt>
                <c:pt idx="12">
                  <c:v>1.80147739383139</c:v>
                </c:pt>
                <c:pt idx="13">
                  <c:v>1.80630996620708</c:v>
                </c:pt>
                <c:pt idx="14">
                  <c:v>1.93077708302648</c:v>
                </c:pt>
                <c:pt idx="15">
                  <c:v>1.47708560940447</c:v>
                </c:pt>
                <c:pt idx="16">
                  <c:v>1.26512123287118</c:v>
                </c:pt>
                <c:pt idx="17">
                  <c:v>1.61648468810908</c:v>
                </c:pt>
                <c:pt idx="18">
                  <c:v>1.56629215337502</c:v>
                </c:pt>
                <c:pt idx="19">
                  <c:v>1.18417941362813</c:v>
                </c:pt>
                <c:pt idx="20">
                  <c:v>0.527584742567078</c:v>
                </c:pt>
                <c:pt idx="22">
                  <c:v>1.13133771223504</c:v>
                </c:pt>
                <c:pt idx="23">
                  <c:v>1.30249236766989</c:v>
                </c:pt>
                <c:pt idx="25">
                  <c:v>1.95210258186846</c:v>
                </c:pt>
                <c:pt idx="26">
                  <c:v>1.87450704333908</c:v>
                </c:pt>
                <c:pt idx="28">
                  <c:v>1.12975312323955</c:v>
                </c:pt>
                <c:pt idx="29">
                  <c:v>1.37249650875497</c:v>
                </c:pt>
                <c:pt idx="30">
                  <c:v>1.09112792341928</c:v>
                </c:pt>
                <c:pt idx="31">
                  <c:v>0.981466350659401</c:v>
                </c:pt>
                <c:pt idx="33">
                  <c:v>1.17612003459779</c:v>
                </c:pt>
                <c:pt idx="34">
                  <c:v>0.260252881101842</c:v>
                </c:pt>
                <c:pt idx="35">
                  <c:v>1.24405164638047</c:v>
                </c:pt>
                <c:pt idx="36">
                  <c:v>1.34727748033149</c:v>
                </c:pt>
                <c:pt idx="37">
                  <c:v>1.35684009357946</c:v>
                </c:pt>
                <c:pt idx="38">
                  <c:v>1.26844237963174</c:v>
                </c:pt>
                <c:pt idx="39">
                  <c:v>1.36709478993197</c:v>
                </c:pt>
                <c:pt idx="40">
                  <c:v>1.1051111382511</c:v>
                </c:pt>
                <c:pt idx="41">
                  <c:v>0.736750361271676</c:v>
                </c:pt>
                <c:pt idx="42">
                  <c:v>1.48746801703545</c:v>
                </c:pt>
              </c:numCache>
            </c:numRef>
          </c:val>
        </c:ser>
        <c:gapWidth val="50"/>
        <c:overlap val="0"/>
        <c:axId val="6849633"/>
        <c:axId val="59182339"/>
      </c:barChart>
      <c:catAx>
        <c:axId val="6849633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59182339"/>
        <c:crosses val="autoZero"/>
        <c:auto val="1"/>
        <c:lblAlgn val="ctr"/>
        <c:lblOffset val="100"/>
        <c:noMultiLvlLbl val="0"/>
      </c:catAx>
      <c:valAx>
        <c:axId val="59182339"/>
        <c:scaling>
          <c:orientation val="minMax"/>
          <c:max val="2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6849633"/>
        <c:crosses val="autoZero"/>
        <c:crossBetween val="midCat"/>
        <c:majorUnit val="0.5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307006243186998"/>
          <c:y val="0.0749808722264728"/>
          <c:w val="0.594391041522149"/>
          <c:h val="0.76496748278500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Main!$A$116</c:f>
              <c:strCache>
                <c:ptCount val="1"/>
                <c:pt idx="0">
                  <c:v>Est. FTE Family Physician @ 260k</c:v>
                </c:pt>
              </c:strCache>
            </c:strRef>
          </c:tx>
          <c:spPr>
            <a:solidFill>
              <a:srgbClr val="2A6099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2A6099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Main!$D$116:$AW$116</c:f>
              <c:numCache>
                <c:formatCode>0.00</c:formatCode>
                <c:ptCount val="43"/>
                <c:pt idx="0">
                  <c:v>4.32230803846154</c:v>
                </c:pt>
                <c:pt idx="1">
                  <c:v>1.566</c:v>
                </c:pt>
                <c:pt idx="2">
                  <c:v>4.29693703846154</c:v>
                </c:pt>
                <c:pt idx="3">
                  <c:v>3.19600438461538</c:v>
                </c:pt>
                <c:pt idx="4">
                  <c:v>3.12579538461539</c:v>
                </c:pt>
                <c:pt idx="5">
                  <c:v>7.26647980769231</c:v>
                </c:pt>
                <c:pt idx="6">
                  <c:v>6.15556303846154</c:v>
                </c:pt>
                <c:pt idx="7">
                  <c:v>1.13663919230769</c:v>
                </c:pt>
                <c:pt idx="8">
                  <c:v>0.545261884615385</c:v>
                </c:pt>
                <c:pt idx="9">
                  <c:v>0.281295076923077</c:v>
                </c:pt>
                <c:pt idx="11">
                  <c:v>7.53434888461538</c:v>
                </c:pt>
                <c:pt idx="12">
                  <c:v>2.09777803846154</c:v>
                </c:pt>
                <c:pt idx="13">
                  <c:v>9.64615753846154</c:v>
                </c:pt>
                <c:pt idx="14">
                  <c:v>0</c:v>
                </c:pt>
                <c:pt idx="15">
                  <c:v>2.57375019230769</c:v>
                </c:pt>
                <c:pt idx="16">
                  <c:v>2.68881696153846</c:v>
                </c:pt>
                <c:pt idx="17">
                  <c:v>1.45785073076923</c:v>
                </c:pt>
                <c:pt idx="18">
                  <c:v>4.58962823076923</c:v>
                </c:pt>
                <c:pt idx="19">
                  <c:v>3.29572034615385</c:v>
                </c:pt>
                <c:pt idx="20">
                  <c:v>0.237820576923077</c:v>
                </c:pt>
                <c:pt idx="22">
                  <c:v>1.31552307692308</c:v>
                </c:pt>
                <c:pt idx="23">
                  <c:v>1.15457307692308</c:v>
                </c:pt>
                <c:pt idx="25">
                  <c:v>7.64378461538462</c:v>
                </c:pt>
                <c:pt idx="26">
                  <c:v>5.58640384615385</c:v>
                </c:pt>
                <c:pt idx="27">
                  <c:v>0</c:v>
                </c:pt>
                <c:pt idx="28">
                  <c:v>5.60553461538462</c:v>
                </c:pt>
                <c:pt idx="29">
                  <c:v>8.60911538461538</c:v>
                </c:pt>
                <c:pt idx="30">
                  <c:v>4.81003846153846</c:v>
                </c:pt>
                <c:pt idx="31">
                  <c:v>5.29288076923077</c:v>
                </c:pt>
                <c:pt idx="33">
                  <c:v>5.07797534615385</c:v>
                </c:pt>
                <c:pt idx="34">
                  <c:v>0.269230769230769</c:v>
                </c:pt>
                <c:pt idx="35">
                  <c:v>7.53737480769231</c:v>
                </c:pt>
                <c:pt idx="36">
                  <c:v>18.7501117307692</c:v>
                </c:pt>
                <c:pt idx="37">
                  <c:v>4.62844538461539</c:v>
                </c:pt>
                <c:pt idx="38">
                  <c:v>3.35354296153846</c:v>
                </c:pt>
                <c:pt idx="39">
                  <c:v>8.13649357692308</c:v>
                </c:pt>
                <c:pt idx="40">
                  <c:v>0</c:v>
                </c:pt>
                <c:pt idx="41">
                  <c:v>0.924430230769231</c:v>
                </c:pt>
                <c:pt idx="42">
                  <c:v>0.314271923076923</c:v>
                </c:pt>
              </c:numCache>
            </c:numRef>
          </c:val>
        </c:ser>
        <c:ser>
          <c:idx val="1"/>
          <c:order val="1"/>
          <c:tx>
            <c:strRef>
              <c:f>Main!$A$117</c:f>
              <c:strCache>
                <c:ptCount val="1"/>
                <c:pt idx="0">
                  <c:v>Est. FTE Nurse Practitioner @ 160k</c:v>
                </c:pt>
              </c:strCache>
            </c:strRef>
          </c:tx>
          <c:spPr>
            <a:solidFill>
              <a:srgbClr val="2A6099">
                <a:alpha val="6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Main!$D$117:$AW$117</c:f>
              <c:numCache>
                <c:formatCode>0.00</c:formatCode>
                <c:ptCount val="43"/>
                <c:pt idx="0">
                  <c:v>3.9314790625</c:v>
                </c:pt>
                <c:pt idx="1">
                  <c:v>0</c:v>
                </c:pt>
                <c:pt idx="2">
                  <c:v>0</c:v>
                </c:pt>
                <c:pt idx="3">
                  <c:v>5.6404535625</c:v>
                </c:pt>
                <c:pt idx="4">
                  <c:v>5.23953775</c:v>
                </c:pt>
                <c:pt idx="5">
                  <c:v>5.345906375</c:v>
                </c:pt>
                <c:pt idx="6">
                  <c:v>3.9211723125</c:v>
                </c:pt>
                <c:pt idx="7">
                  <c:v>0</c:v>
                </c:pt>
                <c:pt idx="8">
                  <c:v>0.6682406875</c:v>
                </c:pt>
                <c:pt idx="9">
                  <c:v>1.5093845</c:v>
                </c:pt>
                <c:pt idx="11">
                  <c:v>0.301382</c:v>
                </c:pt>
                <c:pt idx="12">
                  <c:v>2.4029114375</c:v>
                </c:pt>
                <c:pt idx="13">
                  <c:v>2.515985875</c:v>
                </c:pt>
                <c:pt idx="14">
                  <c:v>0.4438288125</c:v>
                </c:pt>
                <c:pt idx="15">
                  <c:v>3.168262</c:v>
                </c:pt>
                <c:pt idx="16">
                  <c:v>1.981210375</c:v>
                </c:pt>
                <c:pt idx="17">
                  <c:v>2.286690625</c:v>
                </c:pt>
                <c:pt idx="18">
                  <c:v>0</c:v>
                </c:pt>
                <c:pt idx="19">
                  <c:v>5.5635905</c:v>
                </c:pt>
                <c:pt idx="20">
                  <c:v>0.871695375</c:v>
                </c:pt>
                <c:pt idx="22">
                  <c:v>1.5554125</c:v>
                </c:pt>
                <c:pt idx="23">
                  <c:v>0</c:v>
                </c:pt>
                <c:pt idx="25">
                  <c:v>5.39685625</c:v>
                </c:pt>
                <c:pt idx="26">
                  <c:v>6.27046875</c:v>
                </c:pt>
                <c:pt idx="27">
                  <c:v>0</c:v>
                </c:pt>
                <c:pt idx="28">
                  <c:v>4.96104375</c:v>
                </c:pt>
                <c:pt idx="29">
                  <c:v>6.51865625</c:v>
                </c:pt>
                <c:pt idx="30">
                  <c:v>6.0861625</c:v>
                </c:pt>
                <c:pt idx="31">
                  <c:v>3.6313125</c:v>
                </c:pt>
                <c:pt idx="33">
                  <c:v>1.1135375</c:v>
                </c:pt>
                <c:pt idx="34">
                  <c:v>0.462402125</c:v>
                </c:pt>
                <c:pt idx="35">
                  <c:v>0</c:v>
                </c:pt>
                <c:pt idx="36">
                  <c:v>0</c:v>
                </c:pt>
                <c:pt idx="37">
                  <c:v>0.9838159375</c:v>
                </c:pt>
                <c:pt idx="38">
                  <c:v>0.5099629375</c:v>
                </c:pt>
                <c:pt idx="39">
                  <c:v>4.8089525625</c:v>
                </c:pt>
                <c:pt idx="40">
                  <c:v>0</c:v>
                </c:pt>
                <c:pt idx="41">
                  <c:v>0</c:v>
                </c:pt>
                <c:pt idx="42">
                  <c:v>0.6111164375</c:v>
                </c:pt>
              </c:numCache>
            </c:numRef>
          </c:val>
        </c:ser>
        <c:ser>
          <c:idx val="2"/>
          <c:order val="2"/>
          <c:tx>
            <c:strRef>
              <c:f>Main!$A$119</c:f>
              <c:strCache>
                <c:ptCount val="1"/>
                <c:pt idx="0">
                  <c:v>Est. FTE Nursing @ 100k</c:v>
                </c:pt>
              </c:strCache>
            </c:strRef>
          </c:tx>
          <c:spPr>
            <a:solidFill>
              <a:srgbClr val="158466">
                <a:alpha val="8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Main!$D$119:$AW$119</c:f>
              <c:numCache>
                <c:formatCode>0.00</c:formatCode>
                <c:ptCount val="43"/>
                <c:pt idx="0">
                  <c:v>16.6572104</c:v>
                </c:pt>
                <c:pt idx="1">
                  <c:v>8.7582835</c:v>
                </c:pt>
                <c:pt idx="2">
                  <c:v>13.6776411</c:v>
                </c:pt>
                <c:pt idx="3">
                  <c:v>11.36683</c:v>
                </c:pt>
                <c:pt idx="4">
                  <c:v>12.2179563</c:v>
                </c:pt>
                <c:pt idx="5">
                  <c:v>13.2864562</c:v>
                </c:pt>
                <c:pt idx="6">
                  <c:v>18.7240945</c:v>
                </c:pt>
                <c:pt idx="7">
                  <c:v>7.3663287</c:v>
                </c:pt>
                <c:pt idx="8">
                  <c:v>7.7629209</c:v>
                </c:pt>
                <c:pt idx="9">
                  <c:v>15.6984563</c:v>
                </c:pt>
                <c:pt idx="11">
                  <c:v>9.8492641</c:v>
                </c:pt>
                <c:pt idx="12">
                  <c:v>16.5758073</c:v>
                </c:pt>
                <c:pt idx="13">
                  <c:v>19.3496853</c:v>
                </c:pt>
                <c:pt idx="14">
                  <c:v>7.2071711</c:v>
                </c:pt>
                <c:pt idx="15">
                  <c:v>14.2656906</c:v>
                </c:pt>
                <c:pt idx="16">
                  <c:v>8.6189104</c:v>
                </c:pt>
                <c:pt idx="17">
                  <c:v>15.3267319</c:v>
                </c:pt>
                <c:pt idx="18">
                  <c:v>11.9580454</c:v>
                </c:pt>
                <c:pt idx="19">
                  <c:v>20.3355815</c:v>
                </c:pt>
                <c:pt idx="20">
                  <c:v>7.2753936</c:v>
                </c:pt>
                <c:pt idx="22">
                  <c:v>1.75453</c:v>
                </c:pt>
                <c:pt idx="23">
                  <c:v>6.56167</c:v>
                </c:pt>
                <c:pt idx="25">
                  <c:v>20.28877</c:v>
                </c:pt>
                <c:pt idx="26">
                  <c:v>14.5924</c:v>
                </c:pt>
                <c:pt idx="27">
                  <c:v>0</c:v>
                </c:pt>
                <c:pt idx="28">
                  <c:v>17.04628</c:v>
                </c:pt>
                <c:pt idx="29">
                  <c:v>25.55314</c:v>
                </c:pt>
                <c:pt idx="30">
                  <c:v>16.74434</c:v>
                </c:pt>
                <c:pt idx="31">
                  <c:v>21.8505</c:v>
                </c:pt>
                <c:pt idx="33">
                  <c:v>10.61336</c:v>
                </c:pt>
                <c:pt idx="34">
                  <c:v>0.71434</c:v>
                </c:pt>
                <c:pt idx="35">
                  <c:v>12.49601</c:v>
                </c:pt>
                <c:pt idx="36">
                  <c:v>23.12172</c:v>
                </c:pt>
                <c:pt idx="37">
                  <c:v>12.97969</c:v>
                </c:pt>
                <c:pt idx="38">
                  <c:v>13.26879</c:v>
                </c:pt>
                <c:pt idx="39">
                  <c:v>16.38035</c:v>
                </c:pt>
                <c:pt idx="40">
                  <c:v>7.23892</c:v>
                </c:pt>
                <c:pt idx="41">
                  <c:v>1.63146</c:v>
                </c:pt>
                <c:pt idx="42">
                  <c:v>3.47689</c:v>
                </c:pt>
              </c:numCache>
            </c:numRef>
          </c:val>
        </c:ser>
        <c:gapWidth val="30"/>
        <c:overlap val="100"/>
        <c:axId val="6860685"/>
        <c:axId val="99585375"/>
      </c:barChart>
      <c:catAx>
        <c:axId val="6860685"/>
        <c:scaling>
          <c:orientation val="maxMin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99585375"/>
        <c:crosses val="autoZero"/>
        <c:auto val="1"/>
        <c:lblAlgn val="ctr"/>
        <c:lblOffset val="100"/>
        <c:noMultiLvlLbl val="0"/>
      </c:catAx>
      <c:valAx>
        <c:axId val="99585375"/>
        <c:scaling>
          <c:orientation val="minMax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0" sourceLinked="0"/>
        <c:majorTickMark val="out"/>
        <c:minorTickMark val="none"/>
        <c:tickLblPos val="low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Liberation Sans Narrow"/>
                <a:ea typeface="DejaVu Sans"/>
              </a:defRPr>
            </a:pPr>
          </a:p>
        </c:txPr>
        <c:crossAx val="6860685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306907144980676"/>
          <c:y val="0.0749330527926549"/>
          <c:w val="0.297096422554752"/>
          <c:h val="0.76496748278500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Main!$A$116</c:f>
              <c:strCache>
                <c:ptCount val="1"/>
                <c:pt idx="0">
                  <c:v>Est. FTE Family Physician @ 260k</c:v>
                </c:pt>
              </c:strCache>
            </c:strRef>
          </c:tx>
          <c:spPr>
            <a:solidFill>
              <a:srgbClr val="2A6099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2A6099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Main!$D$116:$AW$116</c:f>
              <c:numCache>
                <c:formatCode>0.00</c:formatCode>
                <c:ptCount val="43"/>
                <c:pt idx="0">
                  <c:v>4.32230803846154</c:v>
                </c:pt>
                <c:pt idx="1">
                  <c:v>1.566</c:v>
                </c:pt>
                <c:pt idx="2">
                  <c:v>4.29693703846154</c:v>
                </c:pt>
                <c:pt idx="3">
                  <c:v>3.19600438461538</c:v>
                </c:pt>
                <c:pt idx="4">
                  <c:v>3.12579538461539</c:v>
                </c:pt>
                <c:pt idx="5">
                  <c:v>7.26647980769231</c:v>
                </c:pt>
                <c:pt idx="6">
                  <c:v>6.15556303846154</c:v>
                </c:pt>
                <c:pt idx="7">
                  <c:v>1.13663919230769</c:v>
                </c:pt>
                <c:pt idx="8">
                  <c:v>0.545261884615385</c:v>
                </c:pt>
                <c:pt idx="9">
                  <c:v>0.281295076923077</c:v>
                </c:pt>
                <c:pt idx="11">
                  <c:v>7.53434888461538</c:v>
                </c:pt>
                <c:pt idx="12">
                  <c:v>2.09777803846154</c:v>
                </c:pt>
                <c:pt idx="13">
                  <c:v>9.64615753846154</c:v>
                </c:pt>
                <c:pt idx="14">
                  <c:v>0</c:v>
                </c:pt>
                <c:pt idx="15">
                  <c:v>2.57375019230769</c:v>
                </c:pt>
                <c:pt idx="16">
                  <c:v>2.68881696153846</c:v>
                </c:pt>
                <c:pt idx="17">
                  <c:v>1.45785073076923</c:v>
                </c:pt>
                <c:pt idx="18">
                  <c:v>4.58962823076923</c:v>
                </c:pt>
                <c:pt idx="19">
                  <c:v>3.29572034615385</c:v>
                </c:pt>
                <c:pt idx="20">
                  <c:v>0.237820576923077</c:v>
                </c:pt>
                <c:pt idx="22">
                  <c:v>1.31552307692308</c:v>
                </c:pt>
                <c:pt idx="23">
                  <c:v>1.15457307692308</c:v>
                </c:pt>
                <c:pt idx="25">
                  <c:v>7.64378461538462</c:v>
                </c:pt>
                <c:pt idx="26">
                  <c:v>5.58640384615385</c:v>
                </c:pt>
                <c:pt idx="27">
                  <c:v>0</c:v>
                </c:pt>
                <c:pt idx="28">
                  <c:v>5.60553461538462</c:v>
                </c:pt>
                <c:pt idx="29">
                  <c:v>8.60911538461538</c:v>
                </c:pt>
                <c:pt idx="30">
                  <c:v>4.81003846153846</c:v>
                </c:pt>
                <c:pt idx="31">
                  <c:v>5.29288076923077</c:v>
                </c:pt>
                <c:pt idx="33">
                  <c:v>5.07797534615385</c:v>
                </c:pt>
                <c:pt idx="34">
                  <c:v>0.269230769230769</c:v>
                </c:pt>
                <c:pt idx="35">
                  <c:v>7.53737480769231</c:v>
                </c:pt>
                <c:pt idx="36">
                  <c:v>18.7501117307692</c:v>
                </c:pt>
                <c:pt idx="37">
                  <c:v>4.62844538461539</c:v>
                </c:pt>
                <c:pt idx="38">
                  <c:v>3.35354296153846</c:v>
                </c:pt>
                <c:pt idx="39">
                  <c:v>8.13649357692308</c:v>
                </c:pt>
                <c:pt idx="40">
                  <c:v>0</c:v>
                </c:pt>
                <c:pt idx="41">
                  <c:v>0.924430230769231</c:v>
                </c:pt>
                <c:pt idx="42">
                  <c:v>0.314271923076923</c:v>
                </c:pt>
              </c:numCache>
            </c:numRef>
          </c:val>
        </c:ser>
        <c:ser>
          <c:idx val="1"/>
          <c:order val="1"/>
          <c:tx>
            <c:strRef>
              <c:f>Main!$A$117</c:f>
              <c:strCache>
                <c:ptCount val="1"/>
                <c:pt idx="0">
                  <c:v>Est. FTE Nurse Practitioner @ 160k</c:v>
                </c:pt>
              </c:strCache>
            </c:strRef>
          </c:tx>
          <c:spPr>
            <a:solidFill>
              <a:srgbClr val="2A6099">
                <a:alpha val="6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Main!$D$117:$AW$117</c:f>
              <c:numCache>
                <c:formatCode>0.00</c:formatCode>
                <c:ptCount val="43"/>
                <c:pt idx="0">
                  <c:v>3.9314790625</c:v>
                </c:pt>
                <c:pt idx="1">
                  <c:v>0</c:v>
                </c:pt>
                <c:pt idx="2">
                  <c:v>0</c:v>
                </c:pt>
                <c:pt idx="3">
                  <c:v>5.6404535625</c:v>
                </c:pt>
                <c:pt idx="4">
                  <c:v>5.23953775</c:v>
                </c:pt>
                <c:pt idx="5">
                  <c:v>5.345906375</c:v>
                </c:pt>
                <c:pt idx="6">
                  <c:v>3.9211723125</c:v>
                </c:pt>
                <c:pt idx="7">
                  <c:v>0</c:v>
                </c:pt>
                <c:pt idx="8">
                  <c:v>0.6682406875</c:v>
                </c:pt>
                <c:pt idx="9">
                  <c:v>1.5093845</c:v>
                </c:pt>
                <c:pt idx="11">
                  <c:v>0.301382</c:v>
                </c:pt>
                <c:pt idx="12">
                  <c:v>2.4029114375</c:v>
                </c:pt>
                <c:pt idx="13">
                  <c:v>2.515985875</c:v>
                </c:pt>
                <c:pt idx="14">
                  <c:v>0.4438288125</c:v>
                </c:pt>
                <c:pt idx="15">
                  <c:v>3.168262</c:v>
                </c:pt>
                <c:pt idx="16">
                  <c:v>1.981210375</c:v>
                </c:pt>
                <c:pt idx="17">
                  <c:v>2.286690625</c:v>
                </c:pt>
                <c:pt idx="18">
                  <c:v>0</c:v>
                </c:pt>
                <c:pt idx="19">
                  <c:v>5.5635905</c:v>
                </c:pt>
                <c:pt idx="20">
                  <c:v>0.871695375</c:v>
                </c:pt>
                <c:pt idx="22">
                  <c:v>1.5554125</c:v>
                </c:pt>
                <c:pt idx="23">
                  <c:v>0</c:v>
                </c:pt>
                <c:pt idx="25">
                  <c:v>5.39685625</c:v>
                </c:pt>
                <c:pt idx="26">
                  <c:v>6.27046875</c:v>
                </c:pt>
                <c:pt idx="27">
                  <c:v>0</c:v>
                </c:pt>
                <c:pt idx="28">
                  <c:v>4.96104375</c:v>
                </c:pt>
                <c:pt idx="29">
                  <c:v>6.51865625</c:v>
                </c:pt>
                <c:pt idx="30">
                  <c:v>6.0861625</c:v>
                </c:pt>
                <c:pt idx="31">
                  <c:v>3.6313125</c:v>
                </c:pt>
                <c:pt idx="33">
                  <c:v>1.1135375</c:v>
                </c:pt>
                <c:pt idx="34">
                  <c:v>0.462402125</c:v>
                </c:pt>
                <c:pt idx="35">
                  <c:v>0</c:v>
                </c:pt>
                <c:pt idx="36">
                  <c:v>0</c:v>
                </c:pt>
                <c:pt idx="37">
                  <c:v>0.9838159375</c:v>
                </c:pt>
                <c:pt idx="38">
                  <c:v>0.5099629375</c:v>
                </c:pt>
                <c:pt idx="39">
                  <c:v>4.8089525625</c:v>
                </c:pt>
                <c:pt idx="40">
                  <c:v>0</c:v>
                </c:pt>
                <c:pt idx="41">
                  <c:v>0</c:v>
                </c:pt>
                <c:pt idx="42">
                  <c:v>0.6111164375</c:v>
                </c:pt>
              </c:numCache>
            </c:numRef>
          </c:val>
        </c:ser>
        <c:ser>
          <c:idx val="2"/>
          <c:order val="2"/>
          <c:tx>
            <c:strRef>
              <c:f>Main!$A$119</c:f>
              <c:strCache>
                <c:ptCount val="1"/>
                <c:pt idx="0">
                  <c:v>Est. FTE Nursing @ 100k</c:v>
                </c:pt>
              </c:strCache>
            </c:strRef>
          </c:tx>
          <c:spPr>
            <a:solidFill>
              <a:srgbClr val="158466">
                <a:alpha val="8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Main!$D$119:$AW$119</c:f>
              <c:numCache>
                <c:formatCode>0.00</c:formatCode>
                <c:ptCount val="43"/>
                <c:pt idx="0">
                  <c:v>16.6572104</c:v>
                </c:pt>
                <c:pt idx="1">
                  <c:v>8.7582835</c:v>
                </c:pt>
                <c:pt idx="2">
                  <c:v>13.6776411</c:v>
                </c:pt>
                <c:pt idx="3">
                  <c:v>11.36683</c:v>
                </c:pt>
                <c:pt idx="4">
                  <c:v>12.2179563</c:v>
                </c:pt>
                <c:pt idx="5">
                  <c:v>13.2864562</c:v>
                </c:pt>
                <c:pt idx="6">
                  <c:v>18.7240945</c:v>
                </c:pt>
                <c:pt idx="7">
                  <c:v>7.3663287</c:v>
                </c:pt>
                <c:pt idx="8">
                  <c:v>7.7629209</c:v>
                </c:pt>
                <c:pt idx="9">
                  <c:v>15.6984563</c:v>
                </c:pt>
                <c:pt idx="11">
                  <c:v>9.8492641</c:v>
                </c:pt>
                <c:pt idx="12">
                  <c:v>16.5758073</c:v>
                </c:pt>
                <c:pt idx="13">
                  <c:v>19.3496853</c:v>
                </c:pt>
                <c:pt idx="14">
                  <c:v>7.2071711</c:v>
                </c:pt>
                <c:pt idx="15">
                  <c:v>14.2656906</c:v>
                </c:pt>
                <c:pt idx="16">
                  <c:v>8.6189104</c:v>
                </c:pt>
                <c:pt idx="17">
                  <c:v>15.3267319</c:v>
                </c:pt>
                <c:pt idx="18">
                  <c:v>11.9580454</c:v>
                </c:pt>
                <c:pt idx="19">
                  <c:v>20.3355815</c:v>
                </c:pt>
                <c:pt idx="20">
                  <c:v>7.2753936</c:v>
                </c:pt>
                <c:pt idx="22">
                  <c:v>1.75453</c:v>
                </c:pt>
                <c:pt idx="23">
                  <c:v>6.56167</c:v>
                </c:pt>
                <c:pt idx="25">
                  <c:v>20.28877</c:v>
                </c:pt>
                <c:pt idx="26">
                  <c:v>14.5924</c:v>
                </c:pt>
                <c:pt idx="27">
                  <c:v>0</c:v>
                </c:pt>
                <c:pt idx="28">
                  <c:v>17.04628</c:v>
                </c:pt>
                <c:pt idx="29">
                  <c:v>25.55314</c:v>
                </c:pt>
                <c:pt idx="30">
                  <c:v>16.74434</c:v>
                </c:pt>
                <c:pt idx="31">
                  <c:v>21.8505</c:v>
                </c:pt>
                <c:pt idx="33">
                  <c:v>10.61336</c:v>
                </c:pt>
                <c:pt idx="34">
                  <c:v>0.71434</c:v>
                </c:pt>
                <c:pt idx="35">
                  <c:v>12.49601</c:v>
                </c:pt>
                <c:pt idx="36">
                  <c:v>23.12172</c:v>
                </c:pt>
                <c:pt idx="37">
                  <c:v>12.97969</c:v>
                </c:pt>
                <c:pt idx="38">
                  <c:v>13.26879</c:v>
                </c:pt>
                <c:pt idx="39">
                  <c:v>16.38035</c:v>
                </c:pt>
                <c:pt idx="40">
                  <c:v>7.23892</c:v>
                </c:pt>
                <c:pt idx="41">
                  <c:v>1.63146</c:v>
                </c:pt>
                <c:pt idx="42">
                  <c:v>3.47689</c:v>
                </c:pt>
              </c:numCache>
            </c:numRef>
          </c:val>
        </c:ser>
        <c:gapWidth val="30"/>
        <c:overlap val="100"/>
        <c:axId val="24849436"/>
        <c:axId val="21830087"/>
      </c:barChart>
      <c:catAx>
        <c:axId val="24849436"/>
        <c:scaling>
          <c:orientation val="maxMin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21830087"/>
        <c:crosses val="autoZero"/>
        <c:auto val="1"/>
        <c:lblAlgn val="ctr"/>
        <c:lblOffset val="100"/>
        <c:noMultiLvlLbl val="0"/>
      </c:catAx>
      <c:valAx>
        <c:axId val="21830087"/>
        <c:scaling>
          <c:orientation val="minMax"/>
        </c:scaling>
        <c:delete val="0"/>
        <c:axPos val="l"/>
        <c:numFmt formatCode="[$-1009]0%" sourceLinked="0"/>
        <c:majorTickMark val="out"/>
        <c:minorTickMark val="none"/>
        <c:tickLblPos val="low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Liberation Sans Narrow"/>
                <a:ea typeface="DejaVu Sans"/>
              </a:defRPr>
            </a:pPr>
          </a:p>
        </c:txPr>
        <c:crossAx val="24849436"/>
        <c:crosses val="autoZero"/>
        <c:crossBetween val="midCat"/>
        <c:majorUnit val="0.5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306907144980676"/>
          <c:y val="0.0749330527926549"/>
          <c:w val="0.297096422554752"/>
          <c:h val="0.76496748278500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Main!$A$120</c:f>
              <c:strCache>
                <c:ptCount val="1"/>
                <c:pt idx="0">
                  <c:v>Est. Nursing:PCP ratio</c:v>
                </c:pt>
              </c:strCache>
            </c:strRef>
          </c:tx>
          <c:spPr>
            <a:solidFill>
              <a:srgbClr val="80008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14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17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20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23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layout>
                <c:manualLayout>
                  <c:x val="0.0709543157268854"/>
                  <c:y val="-0.000908569242540167"/>
                </c:manualLayout>
              </c:layout>
              <c:numFmt formatCode="0.00" sourceLinked="0"/>
              <c:txPr>
                <a:bodyPr wrap="none"/>
                <a:lstStyle/>
                <a:p>
                  <a:pPr>
                    <a:defRPr sz="8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 </c:separator>
            </c:dLbl>
            <c:dLbl>
              <c:idx val="7"/>
              <c:layout>
                <c:manualLayout>
                  <c:x val="0.180259637300565"/>
                  <c:y val="0.00090856924254018"/>
                </c:manualLayout>
              </c:layout>
              <c:numFmt formatCode="0.00" sourceLinked="0"/>
              <c:txPr>
                <a:bodyPr wrap="none"/>
                <a:lstStyle/>
                <a:p>
                  <a:pPr>
                    <a:defRPr sz="8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 </c:separator>
            </c:dLbl>
            <c:dLbl>
              <c:idx val="8"/>
              <c:layout>
                <c:manualLayout>
                  <c:x val="0.17966504806263"/>
                  <c:y val="0.0011954858454476"/>
                </c:manualLayout>
              </c:layout>
              <c:numFmt formatCode="0.00" sourceLinked="0"/>
              <c:txPr>
                <a:bodyPr wrap="none"/>
                <a:lstStyle/>
                <a:p>
                  <a:pPr>
                    <a:defRPr sz="8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 </c:separator>
            </c:dLbl>
            <c:dLbl>
              <c:idx val="9"/>
              <c:layout>
                <c:manualLayout>
                  <c:x val="0.183728074521851"/>
                  <c:y val="0.000860749808722278"/>
                </c:manualLayout>
              </c:layout>
              <c:numFmt formatCode="0.00" sourceLinked="0"/>
              <c:txPr>
                <a:bodyPr wrap="none"/>
                <a:lstStyle/>
                <a:p>
                  <a:pPr>
                    <a:defRPr sz="8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 </c:separator>
            </c:dLbl>
            <c:dLbl>
              <c:idx val="14"/>
              <c:layout>
                <c:manualLayout>
                  <c:x val="0.190962243583391"/>
                  <c:y val="-0.000908569242540125"/>
                </c:manualLayout>
              </c:layout>
              <c:numFmt formatCode="0.00" sourceLinked="0"/>
              <c:txPr>
                <a:bodyPr wrap="none"/>
                <a:lstStyle/>
                <a:p>
                  <a:pPr>
                    <a:defRPr sz="8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 </c:separator>
            </c:dLbl>
            <c:dLbl>
              <c:idx val="17"/>
              <c:layout>
                <c:manualLayout>
                  <c:x val="0.183827172728174"/>
                  <c:y val="0.000669472073450639"/>
                </c:manualLayout>
              </c:layout>
              <c:numFmt formatCode="0.00" sourceLinked="0"/>
              <c:txPr>
                <a:bodyPr wrap="none"/>
                <a:lstStyle/>
                <a:p>
                  <a:pPr>
                    <a:defRPr sz="8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 </c:separator>
            </c:dLbl>
            <c:dLbl>
              <c:idx val="20"/>
              <c:layout>
                <c:manualLayout>
                  <c:x val="0.181944306808047"/>
                  <c:y val="0"/>
                </c:manualLayout>
              </c:layout>
              <c:numFmt formatCode="0.00" sourceLinked="0"/>
              <c:txPr>
                <a:bodyPr wrap="none"/>
                <a:lstStyle/>
                <a:p>
                  <a:pPr>
                    <a:defRPr sz="8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 </c:separator>
            </c:dLbl>
            <c:dLbl>
              <c:idx val="23"/>
              <c:layout>
                <c:manualLayout>
                  <c:x val="0.181944306808047"/>
                  <c:y val="-0.000908569242540125"/>
                </c:manualLayout>
              </c:layout>
              <c:numFmt formatCode="0.00" sourceLinked="0"/>
              <c:txPr>
                <a:bodyPr wrap="none"/>
                <a:lstStyle/>
                <a:p>
                  <a:pPr>
                    <a:defRPr sz="8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Main!$D$120:$AW$120</c:f>
              <c:numCache>
                <c:formatCode>0.00</c:formatCode>
                <c:ptCount val="43"/>
                <c:pt idx="0">
                  <c:v>2.01812939881373</c:v>
                </c:pt>
                <c:pt idx="1">
                  <c:v>5.59277362707535</c:v>
                </c:pt>
                <c:pt idx="2">
                  <c:v>3.18311415260976</c:v>
                </c:pt>
                <c:pt idx="3">
                  <c:v>1.28635592089369</c:v>
                </c:pt>
                <c:pt idx="4">
                  <c:v>1.46054629306305</c:v>
                </c:pt>
                <c:pt idx="5">
                  <c:v>1.05344508228211</c:v>
                </c:pt>
                <c:pt idx="6">
                  <c:v>1.85815086413015</c:v>
                </c:pt>
                <c:pt idx="7">
                  <c:v>6.48079773234311</c:v>
                </c:pt>
                <c:pt idx="8">
                  <c:v>6.3971194444752</c:v>
                </c:pt>
                <c:pt idx="9">
                  <c:v>8.76675900161582</c:v>
                </c:pt>
                <c:pt idx="11">
                  <c:v>1.25696814311706</c:v>
                </c:pt>
                <c:pt idx="12">
                  <c:v>3.68294844346237</c:v>
                </c:pt>
                <c:pt idx="13">
                  <c:v>1.59097657725225</c:v>
                </c:pt>
                <c:pt idx="14">
                  <c:v>16.2386282661629</c:v>
                </c:pt>
                <c:pt idx="15">
                  <c:v>2.48444101513945</c:v>
                </c:pt>
                <c:pt idx="16">
                  <c:v>1.84558028869881</c:v>
                </c:pt>
                <c:pt idx="17">
                  <c:v>4.09308656089111</c:v>
                </c:pt>
                <c:pt idx="18">
                  <c:v>2.6054496788721</c:v>
                </c:pt>
                <c:pt idx="19">
                  <c:v>2.29539090039136</c:v>
                </c:pt>
                <c:pt idx="20">
                  <c:v>6.55726813786667</c:v>
                </c:pt>
                <c:pt idx="22">
                  <c:v>0.611135273847007</c:v>
                </c:pt>
                <c:pt idx="23">
                  <c:v>5.68320025050885</c:v>
                </c:pt>
                <c:pt idx="25">
                  <c:v>1.5558108078764</c:v>
                </c:pt>
                <c:pt idx="26">
                  <c:v>1.23071238909436</c:v>
                </c:pt>
                <c:pt idx="28">
                  <c:v>1.61322609936273</c:v>
                </c:pt>
                <c:pt idx="29">
                  <c:v>1.68915426654969</c:v>
                </c:pt>
                <c:pt idx="30">
                  <c:v>1.53671358110082</c:v>
                </c:pt>
                <c:pt idx="31">
                  <c:v>2.44845661011591</c:v>
                </c:pt>
                <c:pt idx="33">
                  <c:v>1.71417879017937</c:v>
                </c:pt>
                <c:pt idx="34">
                  <c:v>0.976363973835607</c:v>
                </c:pt>
                <c:pt idx="35">
                  <c:v>1.65787297551491</c:v>
                </c:pt>
                <c:pt idx="36">
                  <c:v>1.2331510516845</c:v>
                </c:pt>
                <c:pt idx="37">
                  <c:v>2.31273799544097</c:v>
                </c:pt>
                <c:pt idx="38">
                  <c:v>3.43439102896214</c:v>
                </c:pt>
                <c:pt idx="39">
                  <c:v>1.26533684691766</c:v>
                </c:pt>
                <c:pt idx="41">
                  <c:v>1.76482761564649</c:v>
                </c:pt>
                <c:pt idx="42">
                  <c:v>3.75722253285353</c:v>
                </c:pt>
              </c:numCache>
            </c:numRef>
          </c:val>
        </c:ser>
        <c:gapWidth val="30"/>
        <c:overlap val="100"/>
        <c:axId val="4599750"/>
        <c:axId val="64713309"/>
      </c:barChart>
      <c:catAx>
        <c:axId val="4599750"/>
        <c:scaling>
          <c:orientation val="maxMin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64713309"/>
        <c:crosses val="autoZero"/>
        <c:auto val="1"/>
        <c:lblAlgn val="ctr"/>
        <c:lblOffset val="100"/>
        <c:noMultiLvlLbl val="0"/>
      </c:catAx>
      <c:valAx>
        <c:axId val="64713309"/>
        <c:scaling>
          <c:orientation val="minMax"/>
          <c:max val="4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0" sourceLinked="0"/>
        <c:majorTickMark val="out"/>
        <c:minorTickMark val="none"/>
        <c:tickLblPos val="low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Liberation Sans Narrow"/>
                <a:ea typeface="DejaVu Sans"/>
              </a:defRPr>
            </a:pPr>
          </a:p>
        </c:txPr>
        <c:crossAx val="4599750"/>
        <c:crosses val="autoZero"/>
        <c:crossBetween val="midCat"/>
        <c:majorUnit val="1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808080"/>
                </a:solidFill>
                <a:uFillTx/>
                <a:latin typeface="Arial"/>
                <a:ea typeface="DejaVu Sans"/>
              </a:rPr>
              <a:t>Patient Visits</a:t>
            </a:r>
          </a:p>
        </c:rich>
      </c:tx>
      <c:layout>
        <c:manualLayout>
          <c:xMode val="edge"/>
          <c:yMode val="edge"/>
          <c:x val="0.00408393184058583"/>
          <c:y val="0.0038214821891633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8136882129278"/>
          <c:y val="0.162549474546199"/>
          <c:w val="0.562737642585551"/>
          <c:h val="0.545380100996315"/>
        </c:manualLayout>
      </c:layout>
      <c:lineChart>
        <c:grouping val="standard"/>
        <c:varyColors val="0"/>
        <c:ser>
          <c:idx val="0"/>
          <c:order val="0"/>
          <c:tx>
            <c:strRef>
              <c:f>Main!$A$284</c:f>
              <c:strCache>
                <c:ptCount val="1"/>
                <c:pt idx="0">
                  <c:v>Patient Visits</c:v>
                </c:pt>
              </c:strCache>
            </c:strRef>
          </c:tx>
          <c:spPr>
            <a:solidFill>
              <a:srgbClr val="B85C00">
                <a:alpha val="50000"/>
              </a:srgbClr>
            </a:solidFill>
            <a:ln w="54000">
              <a:solidFill>
                <a:srgbClr val="B85C00">
                  <a:alpha val="50000"/>
                </a:srgbClr>
              </a:solidFill>
              <a:round/>
            </a:ln>
          </c:spPr>
          <c:marker>
            <c:symbol val="circle"/>
            <c:size val="8"/>
            <c:spPr>
              <a:solidFill>
                <a:srgbClr val="B85C00"/>
              </a:solidFill>
            </c:spPr>
          </c:marker>
          <c:dPt>
            <c:idx val="2"/>
            <c:marker>
              <c:symbol val="circle"/>
              <c:size val="8"/>
              <c:spPr>
                <a:solidFill>
                  <a:srgbClr val="B85C00"/>
                </a:solidFill>
              </c:spPr>
            </c:marker>
          </c:dPt>
          <c:dLbls>
            <c:dLbl>
              <c:idx val="2"/>
              <c:numFmt formatCode="#,##0" sourceLinked="1"/>
              <c:txPr>
                <a:bodyPr wrap="none"/>
                <a:lstStyle/>
                <a:p>
                  <a:pPr>
                    <a:defRPr sz="12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540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Main!$D$284:$F$284</c:f>
              <c:numCache>
                <c:formatCode>#,##0</c:formatCode>
                <c:ptCount val="3"/>
                <c:pt idx="0">
                  <c:v>694745</c:v>
                </c:pt>
                <c:pt idx="1">
                  <c:v>716347</c:v>
                </c:pt>
                <c:pt idx="2">
                  <c:v>898329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370094"/>
        <c:axId val="74287360"/>
      </c:lineChart>
      <c:catAx>
        <c:axId val="3337009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74287360"/>
        <c:crosses val="autoZero"/>
        <c:auto val="1"/>
        <c:lblAlgn val="ctr"/>
        <c:lblOffset val="100"/>
        <c:noMultiLvlLbl val="0"/>
      </c:catAx>
      <c:valAx>
        <c:axId val="74287360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33370094"/>
        <c:crosses val="autoZero"/>
        <c:crossBetween val="between"/>
        <c:majorUnit val="200000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400" b="1" u="none" strike="noStrike">
                <a:solidFill>
                  <a:srgbClr val="808080"/>
                </a:solidFill>
                <a:uFillTx/>
                <a:latin typeface="Arial"/>
                <a:ea typeface="DejaVu Sans"/>
              </a:rPr>
              <a:t>Estimated # FTEs</a:t>
            </a:r>
          </a:p>
        </c:rich>
      </c:tx>
      <c:layout>
        <c:manualLayout>
          <c:xMode val="edge"/>
          <c:yMode val="edge"/>
          <c:x val="0.00465793304221252"/>
          <c:y val="0.00039411455596426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10480349345"/>
          <c:y val="0.124408828166054"/>
          <c:w val="0.581950509461427"/>
          <c:h val="0.393851812926957"/>
        </c:manualLayout>
      </c:layout>
      <c:lineChart>
        <c:grouping val="standard"/>
        <c:varyColors val="0"/>
        <c:ser>
          <c:idx val="0"/>
          <c:order val="0"/>
          <c:tx>
            <c:strRef>
              <c:f>Main!$A$286</c:f>
              <c:strCache>
                <c:ptCount val="1"/>
                <c:pt idx="0">
                  <c:v>Primary Care</c:v>
                </c:pt>
              </c:strCache>
            </c:strRef>
          </c:tx>
          <c:spPr>
            <a:solidFill>
              <a:srgbClr val="2A6099">
                <a:alpha val="50000"/>
              </a:srgbClr>
            </a:solidFill>
            <a:ln w="54000">
              <a:solidFill>
                <a:srgbClr val="2A6099">
                  <a:alpha val="50000"/>
                </a:srgbClr>
              </a:solidFill>
              <a:round/>
            </a:ln>
          </c:spPr>
          <c:marker>
            <c:symbol val="circle"/>
            <c:size val="8"/>
            <c:spPr>
              <a:solidFill>
                <a:srgbClr val="2A6099"/>
              </a:solidFill>
            </c:spPr>
          </c:marker>
          <c:dPt>
            <c:idx val="2"/>
            <c:marker>
              <c:symbol val="circle"/>
              <c:size val="8"/>
              <c:spPr>
                <a:solidFill>
                  <a:srgbClr val="2A6099"/>
                </a:solidFill>
              </c:spPr>
            </c:marker>
          </c:dPt>
          <c:dLbls>
            <c:dLbl>
              <c:idx val="2"/>
              <c:numFmt formatCode="0.0" sourceLinked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540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Main!$D$286:$F$286</c:f>
              <c:numCache>
                <c:formatCode>0.00</c:formatCode>
                <c:ptCount val="3"/>
                <c:pt idx="0">
                  <c:v>128.083344230769</c:v>
                </c:pt>
                <c:pt idx="1">
                  <c:v>191.737804326923</c:v>
                </c:pt>
                <c:pt idx="2">
                  <c:v>244.378097341346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Main!$A$287</c:f>
              <c:strCache>
                <c:ptCount val="1"/>
                <c:pt idx="0">
                  <c:v>Nursing</c:v>
                </c:pt>
              </c:strCache>
            </c:strRef>
          </c:tx>
          <c:spPr>
            <a:solidFill>
              <a:srgbClr val="158466">
                <a:alpha val="50000"/>
              </a:srgbClr>
            </a:solidFill>
            <a:ln w="54000">
              <a:solidFill>
                <a:srgbClr val="158466">
                  <a:alpha val="50000"/>
                </a:srgbClr>
              </a:solidFill>
              <a:round/>
            </a:ln>
          </c:spPr>
          <c:marker>
            <c:symbol val="circle"/>
            <c:size val="8"/>
            <c:spPr>
              <a:solidFill>
                <a:srgbClr val="158466"/>
              </a:solidFill>
            </c:spPr>
          </c:marker>
          <c:dPt>
            <c:idx val="2"/>
            <c:marker>
              <c:symbol val="circle"/>
              <c:size val="8"/>
              <c:spPr>
                <a:solidFill>
                  <a:srgbClr val="158466"/>
                </a:solidFill>
              </c:spPr>
            </c:marker>
          </c:dPt>
          <c:dLbls>
            <c:dLbl>
              <c:idx val="2"/>
              <c:numFmt formatCode="0.0" sourceLinked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540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Main!$D$287:$F$287</c:f>
              <c:numCache>
                <c:formatCode>0.00</c:formatCode>
                <c:ptCount val="3"/>
                <c:pt idx="0">
                  <c:v>205.31791</c:v>
                </c:pt>
                <c:pt idx="1">
                  <c:v>379.53373</c:v>
                </c:pt>
                <c:pt idx="2">
                  <c:v>484.8087234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485307"/>
        <c:axId val="96120957"/>
      </c:lineChart>
      <c:catAx>
        <c:axId val="548530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96120957"/>
        <c:crosses val="autoZero"/>
        <c:auto val="1"/>
        <c:lblAlgn val="ctr"/>
        <c:lblOffset val="100"/>
        <c:noMultiLvlLbl val="0"/>
      </c:catAx>
      <c:valAx>
        <c:axId val="96120957"/>
        <c:scaling>
          <c:orientation val="minMax"/>
          <c:max val="500"/>
        </c:scaling>
        <c:delete val="0"/>
        <c:axPos val="l"/>
        <c:numFmt formatCode="0" sourceLinked="0"/>
        <c:majorTickMark val="out"/>
        <c:minorTickMark val="none"/>
        <c:tickLblPos val="low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5485307"/>
        <c:crosses val="autoZero"/>
        <c:crossBetween val="between"/>
        <c:majorUnit val="100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400" b="1" u="none" strike="noStrike">
                <a:solidFill>
                  <a:srgbClr val="808080"/>
                </a:solidFill>
                <a:uFillTx/>
                <a:latin typeface="Arial"/>
                <a:ea typeface="DejaVu Sans"/>
              </a:rPr>
              <a:t>Nursing:Primary Care</a:t>
            </a:r>
          </a:p>
        </c:rich>
      </c:tx>
      <c:layout>
        <c:manualLayout>
          <c:xMode val="edge"/>
          <c:yMode val="edge"/>
          <c:x val="0.0014178209183117"/>
          <c:y val="0.00115623645035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77620242120188"/>
          <c:y val="0.133111721347015"/>
          <c:w val="0.479659722979605"/>
          <c:h val="0.433299609770198"/>
        </c:manualLayout>
      </c:layout>
      <c:lineChart>
        <c:grouping val="standard"/>
        <c:varyColors val="0"/>
        <c:ser>
          <c:idx val="0"/>
          <c:order val="0"/>
          <c:tx>
            <c:strRef>
              <c:f>Main!$A$288</c:f>
              <c:strCache>
                <c:ptCount val="1"/>
                <c:pt idx="0">
                  <c:v>Nursing:Primary Care FTE</c:v>
                </c:pt>
              </c:strCache>
            </c:strRef>
          </c:tx>
          <c:spPr>
            <a:solidFill>
              <a:srgbClr val="800080">
                <a:alpha val="50000"/>
              </a:srgbClr>
            </a:solidFill>
            <a:ln w="54000">
              <a:solidFill>
                <a:srgbClr val="800080">
                  <a:alpha val="50000"/>
                </a:srgbClr>
              </a:solidFill>
              <a:round/>
            </a:ln>
          </c:spPr>
          <c:marker>
            <c:symbol val="circle"/>
            <c:size val="8"/>
            <c:spPr>
              <a:solidFill>
                <a:srgbClr val="800080"/>
              </a:solidFill>
            </c:spPr>
          </c:marker>
          <c:dPt>
            <c:idx val="2"/>
            <c:marker>
              <c:symbol val="circle"/>
              <c:size val="8"/>
              <c:spPr>
                <a:solidFill>
                  <a:srgbClr val="800080"/>
                </a:solidFill>
              </c:spPr>
            </c:marker>
          </c:dPt>
          <c:dLbls>
            <c:dLbl>
              <c:idx val="2"/>
              <c:numFmt formatCode="0.00" sourceLinked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540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Main!$D$288:$F$288</c:f>
              <c:numCache>
                <c:formatCode>General</c:formatCode>
                <c:ptCount val="3"/>
                <c:pt idx="0">
                  <c:v>1.60300241403813</c:v>
                </c:pt>
                <c:pt idx="1">
                  <c:v>1.97944130700941</c:v>
                </c:pt>
                <c:pt idx="2">
                  <c:v>1.9838468695614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040519"/>
        <c:axId val="12611862"/>
      </c:lineChart>
      <c:catAx>
        <c:axId val="1704051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12611862"/>
        <c:crosses val="autoZero"/>
        <c:auto val="1"/>
        <c:lblAlgn val="ctr"/>
        <c:lblOffset val="100"/>
        <c:noMultiLvlLbl val="0"/>
      </c:catAx>
      <c:valAx>
        <c:axId val="1261186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17040519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400" b="1" u="none" strike="noStrike">
                <a:solidFill>
                  <a:srgbClr val="808080"/>
                </a:solidFill>
                <a:uFillTx/>
                <a:latin typeface="Arial"/>
                <a:ea typeface="DejaVu Sans"/>
              </a:rPr>
              <a:t>Visits per Provider</a:t>
            </a:r>
          </a:p>
        </c:rich>
      </c:tx>
      <c:layout>
        <c:manualLayout>
          <c:xMode val="edge"/>
          <c:yMode val="edge"/>
          <c:x val="0.00418346390811592"/>
          <c:y val="0.00039205436487192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801399558835"/>
          <c:y val="0.124673288029273"/>
          <c:w val="0.228036814482391"/>
          <c:h val="0.391662310507057"/>
        </c:manualLayout>
      </c:layout>
      <c:lineChart>
        <c:grouping val="standard"/>
        <c:varyColors val="0"/>
        <c:ser>
          <c:idx val="0"/>
          <c:order val="0"/>
          <c:tx>
            <c:strRef>
              <c:f>Main!$A$289</c:f>
              <c:strCache>
                <c:ptCount val="1"/>
                <c:pt idx="0">
                  <c:v>Visits per Provider</c:v>
                </c:pt>
              </c:strCache>
            </c:strRef>
          </c:tx>
          <c:spPr>
            <a:solidFill>
              <a:srgbClr val="B85C00">
                <a:alpha val="50000"/>
              </a:srgbClr>
            </a:solidFill>
            <a:ln w="54000">
              <a:solidFill>
                <a:srgbClr val="B85C00">
                  <a:alpha val="50000"/>
                </a:srgbClr>
              </a:solidFill>
              <a:round/>
            </a:ln>
          </c:spPr>
          <c:marker>
            <c:symbol val="circle"/>
            <c:size val="8"/>
            <c:spPr>
              <a:solidFill>
                <a:srgbClr val="B85C00"/>
              </a:solidFill>
            </c:spPr>
          </c:marker>
          <c:dPt>
            <c:idx val="2"/>
            <c:marker>
              <c:symbol val="circle"/>
              <c:size val="8"/>
              <c:spPr>
                <a:solidFill>
                  <a:srgbClr val="B85C00"/>
                </a:solidFill>
              </c:spPr>
            </c:marker>
          </c:dPt>
          <c:dLbls>
            <c:dLbl>
              <c:idx val="2"/>
              <c:numFmt formatCode="0" sourceLinked="0"/>
              <c:txPr>
                <a:bodyPr wrap="none"/>
                <a:lstStyle/>
                <a:p>
                  <a:pPr>
                    <a:defRPr sz="12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540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Main!$D$289:$F$289</c:f>
              <c:numCache>
                <c:formatCode>General</c:formatCode>
                <c:ptCount val="3"/>
                <c:pt idx="0">
                  <c:v>2083.81039718321</c:v>
                </c:pt>
                <c:pt idx="1">
                  <c:v>1253.95185468852</c:v>
                </c:pt>
                <c:pt idx="2">
                  <c:v>1231.96000592371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1467877"/>
        <c:axId val="80992243"/>
      </c:lineChart>
      <c:catAx>
        <c:axId val="8146787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80992243"/>
        <c:crosses val="autoZero"/>
        <c:auto val="1"/>
        <c:lblAlgn val="ctr"/>
        <c:lblOffset val="100"/>
        <c:noMultiLvlLbl val="0"/>
      </c:catAx>
      <c:valAx>
        <c:axId val="80992243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8146787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400" b="1" u="none" strike="noStrike">
                <a:solidFill>
                  <a:srgbClr val="808080"/>
                </a:solidFill>
                <a:uFillTx/>
                <a:latin typeface="Arial"/>
                <a:ea typeface="DejaVu Sans"/>
              </a:rPr>
              <a:t>Encounters per Estimated FTE</a:t>
            </a:r>
          </a:p>
        </c:rich>
      </c:tx>
      <c:layout>
        <c:manualLayout>
          <c:xMode val="edge"/>
          <c:yMode val="edge"/>
          <c:x val="0.00646873445015757"/>
          <c:y val="0.0047276001800990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122076629624"/>
          <c:y val="0.328455650607834"/>
          <c:w val="0.414247802288937"/>
          <c:h val="0.449122017109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A6099">
                <a:alpha val="7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2A6099">
                  <a:alpha val="80000"/>
                </a:srgbClr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2A6099">
                  <a:alpha val="70000"/>
                </a:srgbClr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158466">
                  <a:alpha val="8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Main!$A$261:$A$263</c:f>
              <c:strCache>
                <c:ptCount val="3"/>
                <c:pt idx="0">
                  <c:v>Family Physician </c:v>
                </c:pt>
                <c:pt idx="1">
                  <c:v>Nurse Practitioner</c:v>
                </c:pt>
                <c:pt idx="2">
                  <c:v>Nursing</c:v>
                </c:pt>
              </c:strCache>
            </c:strRef>
          </c:cat>
          <c:val>
            <c:numRef>
              <c:f>Main!$C$261:$C$263</c:f>
              <c:numCache>
                <c:formatCode>0</c:formatCode>
                <c:ptCount val="3"/>
                <c:pt idx="0">
                  <c:v>2742.67802836588</c:v>
                </c:pt>
                <c:pt idx="1">
                  <c:v>1804.06027253267</c:v>
                </c:pt>
                <c:pt idx="2">
                  <c:v>1729.43257728518</c:v>
                </c:pt>
              </c:numCache>
            </c:numRef>
          </c:val>
        </c:ser>
        <c:gapWidth val="20"/>
        <c:overlap val="0"/>
        <c:axId val="26470741"/>
        <c:axId val="18125691"/>
      </c:barChart>
      <c:catAx>
        <c:axId val="26470741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18125691"/>
        <c:crosses val="autoZero"/>
        <c:auto val="1"/>
        <c:lblAlgn val="ctr"/>
        <c:lblOffset val="100"/>
        <c:noMultiLvlLbl val="0"/>
      </c:catAx>
      <c:valAx>
        <c:axId val="18125691"/>
        <c:scaling>
          <c:orientation val="minMax"/>
          <c:max val="3000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26470741"/>
        <c:crosses val="autoZero"/>
        <c:crossBetween val="midCat"/>
        <c:majorUnit val="1000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5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rPr>
              <a:t>BC</a:t>
            </a:r>
          </a:p>
        </c:rich>
      </c:tx>
      <c:layout>
        <c:manualLayout>
          <c:xMode val="edge"/>
          <c:yMode val="edge"/>
          <c:x val="0.032826693047936"/>
          <c:y val="0.50115949497552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101178163504"/>
          <c:y val="0.511981448080392"/>
          <c:w val="0.809155499595287"/>
          <c:h val="0.38598299407369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Main!$A$242</c:f>
              <c:strCache>
                <c:ptCount val="1"/>
                <c:pt idx="0">
                  <c:v>Family Physician </c:v>
                </c:pt>
              </c:strCache>
            </c:strRef>
          </c:tx>
          <c:spPr>
            <a:solidFill>
              <a:srgbClr val="2A6099">
                <a:alpha val="6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2A6099">
                  <a:alpha val="6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Main!$D$227:$AS$228</c:f>
              <c:multiLvlStrCache>
                <c:ptCount val="41"/>
                <c:lvl/>
                <c:lvl/>
              </c:multiLvlStrCache>
            </c:multiLvlStrRef>
          </c:cat>
          <c:val>
            <c:numRef>
              <c:f>Main!$BE$242:$BF$242</c:f>
              <c:numCache>
                <c:formatCode>[$$-1009]#,##0.00;[RED]\-[$$-1009]#,##0.00</c:formatCode>
                <c:ptCount val="2"/>
                <c:pt idx="0">
                  <c:v>44.9891695024874</c:v>
                </c:pt>
              </c:numCache>
            </c:numRef>
          </c:val>
        </c:ser>
        <c:ser>
          <c:idx val="1"/>
          <c:order val="1"/>
          <c:tx>
            <c:strRef>
              <c:f>Main!$A$243</c:f>
              <c:strCache>
                <c:ptCount val="1"/>
                <c:pt idx="0">
                  <c:v>Nurse Practitioner</c:v>
                </c:pt>
              </c:strCache>
            </c:strRef>
          </c:tx>
          <c:spPr>
            <a:solidFill>
              <a:srgbClr val="2A6099">
                <a:alpha val="5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Main!$D$227:$AS$228</c:f>
              <c:multiLvlStrCache>
                <c:ptCount val="41"/>
                <c:lvl/>
                <c:lvl/>
              </c:multiLvlStrCache>
            </c:multiLvlStrRef>
          </c:cat>
          <c:val>
            <c:numRef>
              <c:f>Main!$BE$243</c:f>
              <c:numCache>
                <c:formatCode>[$$-1009]#,##0.00;[RED]\-[$$-1009]#,##0.00</c:formatCode>
                <c:ptCount val="1"/>
                <c:pt idx="0">
                  <c:v>15.8401652289974</c:v>
                </c:pt>
              </c:numCache>
            </c:numRef>
          </c:val>
        </c:ser>
        <c:ser>
          <c:idx val="2"/>
          <c:order val="2"/>
          <c:tx>
            <c:strRef>
              <c:f>Main!$A$239</c:f>
              <c:strCache>
                <c:ptCount val="1"/>
                <c:pt idx="0">
                  <c:v>Nursing</c:v>
                </c:pt>
              </c:strCache>
            </c:strRef>
          </c:tx>
          <c:spPr>
            <a:solidFill>
              <a:srgbClr val="158466">
                <a:alpha val="5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158466">
                  <a:alpha val="5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Main!$D$227:$AS$228</c:f>
              <c:multiLvlStrCache>
                <c:ptCount val="41"/>
                <c:lvl/>
                <c:lvl/>
              </c:multiLvlStrCache>
            </c:multiLvlStrRef>
          </c:cat>
          <c:val>
            <c:numRef>
              <c:f>Main!$BE$239</c:f>
              <c:numCache>
                <c:formatCode>[$$-1009]#,##0.00;[RED]\-[$$-1009]#,##0.00</c:formatCode>
                <c:ptCount val="1"/>
                <c:pt idx="0">
                  <c:v>53.9678362159075</c:v>
                </c:pt>
              </c:numCache>
            </c:numRef>
          </c:val>
        </c:ser>
        <c:ser>
          <c:idx val="3"/>
          <c:order val="3"/>
          <c:tx>
            <c:strRef>
              <c:f>Main!$A$240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B5E9B">
                <a:alpha val="5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Main!$D$227:$AS$228</c:f>
              <c:multiLvlStrCache>
                <c:ptCount val="41"/>
                <c:lvl/>
                <c:lvl/>
              </c:multiLvlStrCache>
            </c:multiLvlStrRef>
          </c:cat>
          <c:val>
            <c:numRef>
              <c:f>Main!$BE$240</c:f>
              <c:numCache>
                <c:formatCode>[$$-1009]#,##0.00;[RED]\-[$$-1009]#,##0.00</c:formatCode>
                <c:ptCount val="1"/>
                <c:pt idx="0">
                  <c:v>12.8313062474884</c:v>
                </c:pt>
              </c:numCache>
            </c:numRef>
          </c:val>
        </c:ser>
        <c:ser>
          <c:idx val="4"/>
          <c:order val="4"/>
          <c:tx>
            <c:strRef>
              <c:f>Main!$A$241</c:f>
              <c:strCache>
                <c:ptCount val="1"/>
                <c:pt idx="0">
                  <c:v>Overhead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Main!$D$227:$AS$228</c:f>
              <c:multiLvlStrCache>
                <c:ptCount val="41"/>
                <c:lvl/>
                <c:lvl/>
              </c:multiLvlStrCache>
            </c:multiLvlStrRef>
          </c:cat>
          <c:val>
            <c:numRef>
              <c:f>Main!$BE$241</c:f>
              <c:numCache>
                <c:formatCode>[$$-1009]#,##0.00;[RED]\-[$$-1009]#,##0.00</c:formatCode>
                <c:ptCount val="1"/>
                <c:pt idx="0">
                  <c:v>58.4282187928921</c:v>
                </c:pt>
              </c:numCache>
            </c:numRef>
          </c:val>
        </c:ser>
        <c:gapWidth val="20"/>
        <c:overlap val="100"/>
        <c:axId val="41591899"/>
        <c:axId val="72917387"/>
      </c:barChart>
      <c:catAx>
        <c:axId val="41591899"/>
        <c:scaling>
          <c:orientation val="maxMin"/>
        </c:scaling>
        <c:delete val="1"/>
        <c:axPos val="b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72917387"/>
        <c:auto val="1"/>
        <c:lblAlgn val="ctr"/>
        <c:lblOffset val="100"/>
        <c:noMultiLvlLbl val="0"/>
      </c:catAx>
      <c:valAx>
        <c:axId val="72917387"/>
        <c:scaling>
          <c:orientation val="minMax"/>
          <c:max val="350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[$$-1009]#,##0;[RED]\-[$$-1009]#,##0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41591899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269829364335271"/>
          <c:y val="0.0652588356063939"/>
          <c:w val="0.249953122070129"/>
          <c:h val="0.5864496260448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ACB20C">
                <a:alpha val="50000"/>
              </a:srgbClr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2A6099">
                  <a:alpha val="70000"/>
                </a:srgbClr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2A6099">
                  <a:alpha val="70000"/>
                </a:srgbClr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ACB20C">
                  <a:alpha val="50000"/>
                </a:srgbClr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ACB20C">
                  <a:alpha val="50000"/>
                </a:srgbClr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BE480A">
                  <a:alpha val="50000"/>
                </a:srgbClr>
              </a:solidFill>
              <a:ln w="0">
                <a:noFill/>
              </a:ln>
            </c:spPr>
          </c:dPt>
          <c:dPt>
            <c:idx val="13"/>
            <c:invertIfNegative val="0"/>
            <c:spPr>
              <a:solidFill>
                <a:srgbClr val="ACB20C">
                  <a:alpha val="50000"/>
                </a:srgbClr>
              </a:solidFill>
              <a:ln w="0">
                <a:noFill/>
              </a:ln>
            </c:spPr>
          </c:dPt>
          <c:dPt>
            <c:idx val="17"/>
            <c:invertIfNegative val="0"/>
            <c:spPr>
              <a:solidFill>
                <a:srgbClr val="ACB20C">
                  <a:alpha val="50000"/>
                </a:srgbClr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8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1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3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7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Main!$A$314:$A$334</c:f>
              <c:strCache>
                <c:ptCount val="21"/>
                <c:pt idx="0">
                  <c:v>Family medicine FFS</c:v>
                </c:pt>
                <c:pt idx="1">
                  <c:v>Family medicine LFP</c:v>
                </c:pt>
                <c:pt idx="2">
                  <c:v>Dermatology consult</c:v>
                </c:pt>
                <c:pt idx="3">
                  <c:v>Urology consult</c:v>
                </c:pt>
                <c:pt idx="4">
                  <c:v>Ophthalmology consult</c:v>
                </c:pt>
                <c:pt idx="5">
                  <c:v>Plastic surgery consult</c:v>
                </c:pt>
                <c:pt idx="6">
                  <c:v>Orthopeaedics consult</c:v>
                </c:pt>
                <c:pt idx="7">
                  <c:v>General surgery consult</c:v>
                </c:pt>
                <c:pt idx="8">
                  <c:v>OBGYN consult</c:v>
                </c:pt>
                <c:pt idx="9">
                  <c:v>Gastro consult</c:v>
                </c:pt>
                <c:pt idx="10">
                  <c:v>Neurosurgery consult</c:v>
                </c:pt>
                <c:pt idx="11">
                  <c:v>UPCC visit</c:v>
                </c:pt>
                <c:pt idx="12">
                  <c:v>Cardiology consult</c:v>
                </c:pt>
                <c:pt idx="13">
                  <c:v>Int Med consult</c:v>
                </c:pt>
                <c:pt idx="14">
                  <c:v>Hematology consult</c:v>
                </c:pt>
                <c:pt idx="15">
                  <c:v>Neurology consult</c:v>
                </c:pt>
                <c:pt idx="16">
                  <c:v>Geriatrics consult</c:v>
                </c:pt>
                <c:pt idx="17">
                  <c:v>Endocrinology consult</c:v>
                </c:pt>
                <c:pt idx="18">
                  <c:v>Rheumatology consult</c:v>
                </c:pt>
                <c:pt idx="19">
                  <c:v>Pediatrics consult</c:v>
                </c:pt>
                <c:pt idx="20">
                  <c:v>Psychiatry consult</c:v>
                </c:pt>
              </c:strCache>
            </c:strRef>
          </c:cat>
          <c:val>
            <c:numRef>
              <c:f>Main!$B$314:$B$334</c:f>
              <c:numCache>
                <c:formatCode>[$$-1009]#,##0.00;[RED]\-[$$-1009]#,##0.00</c:formatCode>
                <c:ptCount val="21"/>
                <c:pt idx="0">
                  <c:v>38.61</c:v>
                </c:pt>
                <c:pt idx="1">
                  <c:v>57.5</c:v>
                </c:pt>
                <c:pt idx="2">
                  <c:v>87.98</c:v>
                </c:pt>
                <c:pt idx="3">
                  <c:v>99.99</c:v>
                </c:pt>
                <c:pt idx="4">
                  <c:v>104.76</c:v>
                </c:pt>
                <c:pt idx="5">
                  <c:v>111.03</c:v>
                </c:pt>
                <c:pt idx="6">
                  <c:v>116.15</c:v>
                </c:pt>
                <c:pt idx="7">
                  <c:v>121.2</c:v>
                </c:pt>
                <c:pt idx="8">
                  <c:v>171.95</c:v>
                </c:pt>
                <c:pt idx="9">
                  <c:v>182.82</c:v>
                </c:pt>
                <c:pt idx="10">
                  <c:v>185.26</c:v>
                </c:pt>
                <c:pt idx="11">
                  <c:v>186.056695987773</c:v>
                </c:pt>
                <c:pt idx="12">
                  <c:v>186.14</c:v>
                </c:pt>
                <c:pt idx="13">
                  <c:v>192.59</c:v>
                </c:pt>
                <c:pt idx="14">
                  <c:v>199.86</c:v>
                </c:pt>
                <c:pt idx="15">
                  <c:v>205.02</c:v>
                </c:pt>
                <c:pt idx="16">
                  <c:v>214.73</c:v>
                </c:pt>
                <c:pt idx="17">
                  <c:v>236.25</c:v>
                </c:pt>
                <c:pt idx="18">
                  <c:v>262.86</c:v>
                </c:pt>
                <c:pt idx="19">
                  <c:v>271.26</c:v>
                </c:pt>
                <c:pt idx="20">
                  <c:v>303.31</c:v>
                </c:pt>
              </c:numCache>
            </c:numRef>
          </c:val>
        </c:ser>
        <c:gapWidth val="20"/>
        <c:overlap val="0"/>
        <c:axId val="99684529"/>
        <c:axId val="46494154"/>
      </c:barChart>
      <c:catAx>
        <c:axId val="99684529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46494154"/>
        <c:crosses val="autoZero"/>
        <c:auto val="1"/>
        <c:lblAlgn val="ctr"/>
        <c:lblOffset val="100"/>
        <c:noMultiLvlLbl val="0"/>
      </c:catAx>
      <c:valAx>
        <c:axId val="46494154"/>
        <c:scaling>
          <c:orientation val="minMax"/>
          <c:max val="300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[$$-1009]#,##0;[RED]\-[$$-1009]#,##0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99684529"/>
        <c:crosses val="autoZero"/>
        <c:crossBetween val="midCat"/>
        <c:majorUnit val="100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234390009606148"/>
          <c:y val="0.0778604118993135"/>
          <c:w val="0.719820685238553"/>
          <c:h val="0.91481693363844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Main!$A$25</c:f>
              <c:strCache>
                <c:ptCount val="1"/>
                <c:pt idx="0">
                  <c:v>Pts Attached Here</c:v>
                </c:pt>
              </c:strCache>
            </c:strRef>
          </c:tx>
          <c:spPr>
            <a:solidFill>
              <a:srgbClr val="81D41A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81D41A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Main!$D$25:$AW$25</c:f>
              <c:numCache>
                <c:formatCode>#,##0</c:formatCode>
                <c:ptCount val="43"/>
                <c:pt idx="0">
                  <c:v>9197</c:v>
                </c:pt>
                <c:pt idx="1">
                  <c:v>0</c:v>
                </c:pt>
                <c:pt idx="2">
                  <c:v>0</c:v>
                </c:pt>
                <c:pt idx="3">
                  <c:v>5899</c:v>
                </c:pt>
                <c:pt idx="4">
                  <c:v>7952</c:v>
                </c:pt>
                <c:pt idx="5">
                  <c:v>6746</c:v>
                </c:pt>
                <c:pt idx="6">
                  <c:v>4630</c:v>
                </c:pt>
                <c:pt idx="7">
                  <c:v>0</c:v>
                </c:pt>
                <c:pt idx="8">
                  <c:v>0</c:v>
                </c:pt>
                <c:pt idx="9">
                  <c:v>1212</c:v>
                </c:pt>
                <c:pt idx="11">
                  <c:v>6561</c:v>
                </c:pt>
                <c:pt idx="12">
                  <c:v>8339</c:v>
                </c:pt>
                <c:pt idx="13">
                  <c:v>3039</c:v>
                </c:pt>
                <c:pt idx="14">
                  <c:v>0</c:v>
                </c:pt>
                <c:pt idx="15">
                  <c:v>8545</c:v>
                </c:pt>
                <c:pt idx="16">
                  <c:v>9085</c:v>
                </c:pt>
                <c:pt idx="17">
                  <c:v>0</c:v>
                </c:pt>
                <c:pt idx="18">
                  <c:v>0</c:v>
                </c:pt>
                <c:pt idx="19">
                  <c:v>7056</c:v>
                </c:pt>
                <c:pt idx="20">
                  <c:v>0</c:v>
                </c:pt>
                <c:pt idx="22">
                  <c:v>0</c:v>
                </c:pt>
                <c:pt idx="23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1190</c:v>
                </c:pt>
                <c:pt idx="33">
                  <c:v>1441</c:v>
                </c:pt>
                <c:pt idx="34">
                  <c:v>0</c:v>
                </c:pt>
                <c:pt idx="35">
                  <c:v>14889</c:v>
                </c:pt>
                <c:pt idx="36">
                  <c:v>21779</c:v>
                </c:pt>
                <c:pt idx="37">
                  <c:v>2742</c:v>
                </c:pt>
                <c:pt idx="38">
                  <c:v>2931</c:v>
                </c:pt>
                <c:pt idx="39">
                  <c:v>9801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</c:ser>
        <c:ser>
          <c:idx val="1"/>
          <c:order val="1"/>
          <c:tx>
            <c:strRef>
              <c:f>Main!$A$26</c:f>
              <c:strCache>
                <c:ptCount val="1"/>
                <c:pt idx="0">
                  <c:v>Pts Attached Elsewhere</c:v>
                </c:pt>
              </c:strCache>
            </c:strRef>
          </c:tx>
          <c:spPr>
            <a:solidFill>
              <a:srgbClr val="E8A202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Main!$D$26:$AW$26</c:f>
              <c:numCache>
                <c:formatCode>#,##0</c:formatCode>
                <c:ptCount val="43"/>
                <c:pt idx="0">
                  <c:v>7466</c:v>
                </c:pt>
                <c:pt idx="1">
                  <c:v>8555</c:v>
                </c:pt>
                <c:pt idx="2">
                  <c:v>18896</c:v>
                </c:pt>
                <c:pt idx="3">
                  <c:v>18283</c:v>
                </c:pt>
                <c:pt idx="4">
                  <c:v>6707</c:v>
                </c:pt>
                <c:pt idx="5">
                  <c:v>23420</c:v>
                </c:pt>
                <c:pt idx="6">
                  <c:v>13201</c:v>
                </c:pt>
                <c:pt idx="7">
                  <c:v>7320</c:v>
                </c:pt>
                <c:pt idx="8">
                  <c:v>5216</c:v>
                </c:pt>
                <c:pt idx="9">
                  <c:v>8395</c:v>
                </c:pt>
                <c:pt idx="11">
                  <c:v>9550</c:v>
                </c:pt>
                <c:pt idx="12">
                  <c:v>7599</c:v>
                </c:pt>
                <c:pt idx="13">
                  <c:v>26200</c:v>
                </c:pt>
                <c:pt idx="14">
                  <c:v>2308</c:v>
                </c:pt>
                <c:pt idx="15">
                  <c:v>14324</c:v>
                </c:pt>
                <c:pt idx="16">
                  <c:v>3343</c:v>
                </c:pt>
                <c:pt idx="17">
                  <c:v>6480</c:v>
                </c:pt>
                <c:pt idx="18">
                  <c:v>1782</c:v>
                </c:pt>
                <c:pt idx="19">
                  <c:v>9045</c:v>
                </c:pt>
                <c:pt idx="20">
                  <c:v>2165</c:v>
                </c:pt>
                <c:pt idx="22">
                  <c:v>2063</c:v>
                </c:pt>
                <c:pt idx="23">
                  <c:v>2754</c:v>
                </c:pt>
                <c:pt idx="25">
                  <c:v>11883</c:v>
                </c:pt>
                <c:pt idx="26">
                  <c:v>19730</c:v>
                </c:pt>
                <c:pt idx="27">
                  <c:v>4393</c:v>
                </c:pt>
                <c:pt idx="28">
                  <c:v>15281</c:v>
                </c:pt>
                <c:pt idx="29">
                  <c:v>25906</c:v>
                </c:pt>
                <c:pt idx="30">
                  <c:v>16822</c:v>
                </c:pt>
                <c:pt idx="31">
                  <c:v>13685</c:v>
                </c:pt>
                <c:pt idx="33">
                  <c:v>5292</c:v>
                </c:pt>
                <c:pt idx="34">
                  <c:v>12390</c:v>
                </c:pt>
                <c:pt idx="35">
                  <c:v>1953</c:v>
                </c:pt>
                <c:pt idx="36">
                  <c:v>5594</c:v>
                </c:pt>
                <c:pt idx="37">
                  <c:v>3844</c:v>
                </c:pt>
                <c:pt idx="38">
                  <c:v>4002</c:v>
                </c:pt>
                <c:pt idx="39">
                  <c:v>3138</c:v>
                </c:pt>
                <c:pt idx="40">
                  <c:v>7320</c:v>
                </c:pt>
                <c:pt idx="41">
                  <c:v>986</c:v>
                </c:pt>
                <c:pt idx="42">
                  <c:v>628</c:v>
                </c:pt>
              </c:numCache>
            </c:numRef>
          </c:val>
        </c:ser>
        <c:ser>
          <c:idx val="2"/>
          <c:order val="2"/>
          <c:tx>
            <c:strRef>
              <c:f>Main!$A$27</c:f>
              <c:strCache>
                <c:ptCount val="1"/>
                <c:pt idx="0">
                  <c:v>Pts Unattached</c:v>
                </c:pt>
              </c:strCache>
            </c:strRef>
          </c:tx>
          <c:spPr>
            <a:solidFill>
              <a:srgbClr val="650953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Main!$D$5:$AW$5</c:f>
              <c:strCache>
                <c:ptCount val="43"/>
                <c:pt idx="0">
                  <c:v>North Surrey</c:v>
                </c:pt>
                <c:pt idx="1">
                  <c:v>Edmonds</c:v>
                </c:pt>
                <c:pt idx="2">
                  <c:v>Ridge Meadows</c:v>
                </c:pt>
                <c:pt idx="3">
                  <c:v>Abbotsford</c:v>
                </c:pt>
                <c:pt idx="4">
                  <c:v>Surrey Newton</c:v>
                </c:pt>
                <c:pt idx="5">
                  <c:v>Port Moody</c:v>
                </c:pt>
                <c:pt idx="6">
                  <c:v>Metrotown</c:v>
                </c:pt>
                <c:pt idx="7">
                  <c:v>Langley</c:v>
                </c:pt>
                <c:pt idx="8">
                  <c:v>Chilliwack</c:v>
                </c:pt>
                <c:pt idx="9">
                  <c:v>Mission</c:v>
                </c:pt>
                <c:pt idx="10">
                  <c:v/>
                </c:pt>
                <c:pt idx="11">
                  <c:v>Kamloops</c:v>
                </c:pt>
                <c:pt idx="12">
                  <c:v>Vernon</c:v>
                </c:pt>
                <c:pt idx="13">
                  <c:v>Kelowna</c:v>
                </c:pt>
                <c:pt idx="14">
                  <c:v>Castlegar**</c:v>
                </c:pt>
                <c:pt idx="15">
                  <c:v>West Kelowna</c:v>
                </c:pt>
                <c:pt idx="16">
                  <c:v>Penticton</c:v>
                </c:pt>
                <c:pt idx="17">
                  <c:v>Cranbrook</c:v>
                </c:pt>
                <c:pt idx="18">
                  <c:v>Ashcroft</c:v>
                </c:pt>
                <c:pt idx="19">
                  <c:v>Rutland</c:v>
                </c:pt>
                <c:pt idx="20">
                  <c:v>Kamloops North</c:v>
                </c:pt>
                <c:pt idx="21">
                  <c:v/>
                </c:pt>
                <c:pt idx="22">
                  <c:v>Quesnel</c:v>
                </c:pt>
                <c:pt idx="23">
                  <c:v>Prince George**</c:v>
                </c:pt>
                <c:pt idx="24">
                  <c:v/>
                </c:pt>
                <c:pt idx="25">
                  <c:v>Vancouver CC</c:v>
                </c:pt>
                <c:pt idx="26">
                  <c:v>North Shore</c:v>
                </c:pt>
                <c:pt idx="27">
                  <c:v>REACH</c:v>
                </c:pt>
                <c:pt idx="28">
                  <c:v>Northeast</c:v>
                </c:pt>
                <c:pt idx="29">
                  <c:v>Richmond</c:v>
                </c:pt>
                <c:pt idx="30">
                  <c:v>Southeast</c:v>
                </c:pt>
                <c:pt idx="31">
                  <c:v>Richmond East</c:v>
                </c:pt>
                <c:pt idx="32">
                  <c:v/>
                </c:pt>
                <c:pt idx="33">
                  <c:v>Westshore</c:v>
                </c:pt>
                <c:pt idx="34">
                  <c:v>Nanaimo**</c:v>
                </c:pt>
                <c:pt idx="35">
                  <c:v>James Bay</c:v>
                </c:pt>
                <c:pt idx="36">
                  <c:v>Downtown</c:v>
                </c:pt>
                <c:pt idx="37">
                  <c:v>North Quadra</c:v>
                </c:pt>
                <c:pt idx="38">
                  <c:v>Esquimalt</c:v>
                </c:pt>
                <c:pt idx="39">
                  <c:v>Gorge</c:v>
                </c:pt>
                <c:pt idx="40">
                  <c:v>Comox Valley</c:v>
                </c:pt>
                <c:pt idx="41">
                  <c:v>Peninsula</c:v>
                </c:pt>
                <c:pt idx="42">
                  <c:v>Campbell River</c:v>
                </c:pt>
              </c:strCache>
            </c:strRef>
          </c:cat>
          <c:val>
            <c:numRef>
              <c:f>Main!$D$27:$AW$27</c:f>
              <c:numCache>
                <c:formatCode>#,##0</c:formatCode>
                <c:ptCount val="43"/>
                <c:pt idx="0">
                  <c:v>15791</c:v>
                </c:pt>
                <c:pt idx="1">
                  <c:v>2198</c:v>
                </c:pt>
                <c:pt idx="2">
                  <c:v>3882</c:v>
                </c:pt>
                <c:pt idx="3">
                  <c:v>11304</c:v>
                </c:pt>
                <c:pt idx="4">
                  <c:v>8143</c:v>
                </c:pt>
                <c:pt idx="5">
                  <c:v>22190</c:v>
                </c:pt>
                <c:pt idx="6">
                  <c:v>33047</c:v>
                </c:pt>
                <c:pt idx="7">
                  <c:v>4299</c:v>
                </c:pt>
                <c:pt idx="8">
                  <c:v>2413</c:v>
                </c:pt>
                <c:pt idx="9">
                  <c:v>3632</c:v>
                </c:pt>
                <c:pt idx="11">
                  <c:v>25444</c:v>
                </c:pt>
                <c:pt idx="12">
                  <c:v>4032</c:v>
                </c:pt>
                <c:pt idx="13">
                  <c:v>21545</c:v>
                </c:pt>
                <c:pt idx="14">
                  <c:v>4447</c:v>
                </c:pt>
                <c:pt idx="15">
                  <c:v>6176</c:v>
                </c:pt>
                <c:pt idx="16">
                  <c:v>3951</c:v>
                </c:pt>
                <c:pt idx="17">
                  <c:v>11523</c:v>
                </c:pt>
                <c:pt idx="18">
                  <c:v>8994</c:v>
                </c:pt>
                <c:pt idx="19">
                  <c:v>9052</c:v>
                </c:pt>
                <c:pt idx="20">
                  <c:v>4070</c:v>
                </c:pt>
                <c:pt idx="22">
                  <c:v>4036</c:v>
                </c:pt>
                <c:pt idx="23">
                  <c:v>24051</c:v>
                </c:pt>
                <c:pt idx="25">
                  <c:v>14090</c:v>
                </c:pt>
                <c:pt idx="26">
                  <c:v>4708</c:v>
                </c:pt>
                <c:pt idx="27">
                  <c:v>17674</c:v>
                </c:pt>
                <c:pt idx="28">
                  <c:v>9029</c:v>
                </c:pt>
                <c:pt idx="29">
                  <c:v>9491</c:v>
                </c:pt>
                <c:pt idx="30">
                  <c:v>7448</c:v>
                </c:pt>
                <c:pt idx="31">
                  <c:v>3568</c:v>
                </c:pt>
                <c:pt idx="33">
                  <c:v>11470</c:v>
                </c:pt>
                <c:pt idx="34">
                  <c:v>6469</c:v>
                </c:pt>
                <c:pt idx="35">
                  <c:v>5416</c:v>
                </c:pt>
                <c:pt idx="36">
                  <c:v>31360</c:v>
                </c:pt>
                <c:pt idx="37">
                  <c:v>10624</c:v>
                </c:pt>
                <c:pt idx="38">
                  <c:v>11294</c:v>
                </c:pt>
                <c:pt idx="39">
                  <c:v>17341</c:v>
                </c:pt>
                <c:pt idx="40">
                  <c:v>7030</c:v>
                </c:pt>
                <c:pt idx="41">
                  <c:v>2663</c:v>
                </c:pt>
                <c:pt idx="42">
                  <c:v>3052</c:v>
                </c:pt>
              </c:numCache>
            </c:numRef>
          </c:val>
        </c:ser>
        <c:gapWidth val="20"/>
        <c:overlap val="100"/>
        <c:axId val="60357718"/>
        <c:axId val="51398105"/>
      </c:barChart>
      <c:catAx>
        <c:axId val="6035771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51398105"/>
        <c:crosses val="autoZero"/>
        <c:auto val="1"/>
        <c:lblAlgn val="ctr"/>
        <c:lblOffset val="100"/>
        <c:noMultiLvlLbl val="0"/>
      </c:catAx>
      <c:valAx>
        <c:axId val="51398105"/>
        <c:scaling>
          <c:orientation val="minMax"/>
          <c:max val="60000"/>
        </c:scaling>
        <c:delete val="0"/>
        <c:axPos val="l"/>
        <c:majorGridlines>
          <c:spPr>
            <a:ln w="0">
              <a:solidFill>
                <a:srgbClr val="EEEEEE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60357718"/>
        <c:crosses val="autoZero"/>
        <c:crossBetween val="midCat"/>
        <c:majorUnit val="20000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653485952133195"/>
          <c:y val="0.90927292488988"/>
          <c:w val="0.340617995517131"/>
          <c:h val="0.0905606407322654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808080"/>
              </a:solidFill>
              <a:uFillTx/>
              <a:latin typeface="Arial"/>
              <a:ea typeface="DejaVu Sans"/>
            </a:defRPr>
          </a:pPr>
        </a:p>
      </c:txPr>
    </c:legend>
    <c:plotVisOnly val="1"/>
    <c:dispBlanksAs val="gap"/>
  </c:chart>
  <c:spPr>
    <a:noFill/>
    <a:ln w="0">
      <a:noFill/>
    </a:ln>
  </c:sp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24170908530002"/>
          <c:y val="0.0409467455621302"/>
          <c:w val="0.616227055375598"/>
          <c:h val="0.94639053254437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Main!$A$25</c:f>
              <c:strCache>
                <c:ptCount val="1"/>
                <c:pt idx="0">
                  <c:v>Pts Attached Here</c:v>
                </c:pt>
              </c:strCache>
            </c:strRef>
          </c:tx>
          <c:spPr>
            <a:solidFill>
              <a:srgbClr val="81D41A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81D41A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Main!$D$25:$AW$25</c:f>
              <c:numCache>
                <c:formatCode>#,##0</c:formatCode>
                <c:ptCount val="43"/>
                <c:pt idx="0">
                  <c:v>9197</c:v>
                </c:pt>
                <c:pt idx="1">
                  <c:v>0</c:v>
                </c:pt>
                <c:pt idx="2">
                  <c:v>0</c:v>
                </c:pt>
                <c:pt idx="3">
                  <c:v>5899</c:v>
                </c:pt>
                <c:pt idx="4">
                  <c:v>7952</c:v>
                </c:pt>
                <c:pt idx="5">
                  <c:v>6746</c:v>
                </c:pt>
                <c:pt idx="6">
                  <c:v>4630</c:v>
                </c:pt>
                <c:pt idx="7">
                  <c:v>0</c:v>
                </c:pt>
                <c:pt idx="8">
                  <c:v>0</c:v>
                </c:pt>
                <c:pt idx="9">
                  <c:v>1212</c:v>
                </c:pt>
                <c:pt idx="11">
                  <c:v>6561</c:v>
                </c:pt>
                <c:pt idx="12">
                  <c:v>8339</c:v>
                </c:pt>
                <c:pt idx="13">
                  <c:v>3039</c:v>
                </c:pt>
                <c:pt idx="14">
                  <c:v>0</c:v>
                </c:pt>
                <c:pt idx="15">
                  <c:v>8545</c:v>
                </c:pt>
                <c:pt idx="16">
                  <c:v>9085</c:v>
                </c:pt>
                <c:pt idx="17">
                  <c:v>0</c:v>
                </c:pt>
                <c:pt idx="18">
                  <c:v>0</c:v>
                </c:pt>
                <c:pt idx="19">
                  <c:v>7056</c:v>
                </c:pt>
                <c:pt idx="20">
                  <c:v>0</c:v>
                </c:pt>
                <c:pt idx="22">
                  <c:v>0</c:v>
                </c:pt>
                <c:pt idx="23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1190</c:v>
                </c:pt>
                <c:pt idx="33">
                  <c:v>1441</c:v>
                </c:pt>
                <c:pt idx="34">
                  <c:v>0</c:v>
                </c:pt>
                <c:pt idx="35">
                  <c:v>14889</c:v>
                </c:pt>
                <c:pt idx="36">
                  <c:v>21779</c:v>
                </c:pt>
                <c:pt idx="37">
                  <c:v>2742</c:v>
                </c:pt>
                <c:pt idx="38">
                  <c:v>2931</c:v>
                </c:pt>
                <c:pt idx="39">
                  <c:v>9801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</c:ser>
        <c:ser>
          <c:idx val="1"/>
          <c:order val="1"/>
          <c:tx>
            <c:strRef>
              <c:f>Main!$A$26</c:f>
              <c:strCache>
                <c:ptCount val="1"/>
                <c:pt idx="0">
                  <c:v>Pts Attached Elsewhere</c:v>
                </c:pt>
              </c:strCache>
            </c:strRef>
          </c:tx>
          <c:spPr>
            <a:solidFill>
              <a:srgbClr val="E8A202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Main!$D$26:$AW$26</c:f>
              <c:numCache>
                <c:formatCode>#,##0</c:formatCode>
                <c:ptCount val="43"/>
                <c:pt idx="0">
                  <c:v>7466</c:v>
                </c:pt>
                <c:pt idx="1">
                  <c:v>8555</c:v>
                </c:pt>
                <c:pt idx="2">
                  <c:v>18896</c:v>
                </c:pt>
                <c:pt idx="3">
                  <c:v>18283</c:v>
                </c:pt>
                <c:pt idx="4">
                  <c:v>6707</c:v>
                </c:pt>
                <c:pt idx="5">
                  <c:v>23420</c:v>
                </c:pt>
                <c:pt idx="6">
                  <c:v>13201</c:v>
                </c:pt>
                <c:pt idx="7">
                  <c:v>7320</c:v>
                </c:pt>
                <c:pt idx="8">
                  <c:v>5216</c:v>
                </c:pt>
                <c:pt idx="9">
                  <c:v>8395</c:v>
                </c:pt>
                <c:pt idx="11">
                  <c:v>9550</c:v>
                </c:pt>
                <c:pt idx="12">
                  <c:v>7599</c:v>
                </c:pt>
                <c:pt idx="13">
                  <c:v>26200</c:v>
                </c:pt>
                <c:pt idx="14">
                  <c:v>2308</c:v>
                </c:pt>
                <c:pt idx="15">
                  <c:v>14324</c:v>
                </c:pt>
                <c:pt idx="16">
                  <c:v>3343</c:v>
                </c:pt>
                <c:pt idx="17">
                  <c:v>6480</c:v>
                </c:pt>
                <c:pt idx="18">
                  <c:v>1782</c:v>
                </c:pt>
                <c:pt idx="19">
                  <c:v>9045</c:v>
                </c:pt>
                <c:pt idx="20">
                  <c:v>2165</c:v>
                </c:pt>
                <c:pt idx="22">
                  <c:v>2063</c:v>
                </c:pt>
                <c:pt idx="23">
                  <c:v>2754</c:v>
                </c:pt>
                <c:pt idx="25">
                  <c:v>11883</c:v>
                </c:pt>
                <c:pt idx="26">
                  <c:v>19730</c:v>
                </c:pt>
                <c:pt idx="27">
                  <c:v>4393</c:v>
                </c:pt>
                <c:pt idx="28">
                  <c:v>15281</c:v>
                </c:pt>
                <c:pt idx="29">
                  <c:v>25906</c:v>
                </c:pt>
                <c:pt idx="30">
                  <c:v>16822</c:v>
                </c:pt>
                <c:pt idx="31">
                  <c:v>13685</c:v>
                </c:pt>
                <c:pt idx="33">
                  <c:v>5292</c:v>
                </c:pt>
                <c:pt idx="34">
                  <c:v>12390</c:v>
                </c:pt>
                <c:pt idx="35">
                  <c:v>1953</c:v>
                </c:pt>
                <c:pt idx="36">
                  <c:v>5594</c:v>
                </c:pt>
                <c:pt idx="37">
                  <c:v>3844</c:v>
                </c:pt>
                <c:pt idx="38">
                  <c:v>4002</c:v>
                </c:pt>
                <c:pt idx="39">
                  <c:v>3138</c:v>
                </c:pt>
                <c:pt idx="40">
                  <c:v>7320</c:v>
                </c:pt>
                <c:pt idx="41">
                  <c:v>986</c:v>
                </c:pt>
                <c:pt idx="42">
                  <c:v>628</c:v>
                </c:pt>
              </c:numCache>
            </c:numRef>
          </c:val>
        </c:ser>
        <c:ser>
          <c:idx val="2"/>
          <c:order val="2"/>
          <c:tx>
            <c:strRef>
              <c:f>Main!$A$27</c:f>
              <c:strCache>
                <c:ptCount val="1"/>
                <c:pt idx="0">
                  <c:v>Pts Unattached</c:v>
                </c:pt>
              </c:strCache>
            </c:strRef>
          </c:tx>
          <c:spPr>
            <a:solidFill>
              <a:srgbClr val="650953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Main!$D$227:$AW$227</c:f>
              <c:strCache>
                <c:ptCount val="43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</c:strCache>
            </c:strRef>
          </c:cat>
          <c:val>
            <c:numRef>
              <c:f>Main!$D$27:$AW$27</c:f>
              <c:numCache>
                <c:formatCode>#,##0</c:formatCode>
                <c:ptCount val="43"/>
                <c:pt idx="0">
                  <c:v>15791</c:v>
                </c:pt>
                <c:pt idx="1">
                  <c:v>2198</c:v>
                </c:pt>
                <c:pt idx="2">
                  <c:v>3882</c:v>
                </c:pt>
                <c:pt idx="3">
                  <c:v>11304</c:v>
                </c:pt>
                <c:pt idx="4">
                  <c:v>8143</c:v>
                </c:pt>
                <c:pt idx="5">
                  <c:v>22190</c:v>
                </c:pt>
                <c:pt idx="6">
                  <c:v>33047</c:v>
                </c:pt>
                <c:pt idx="7">
                  <c:v>4299</c:v>
                </c:pt>
                <c:pt idx="8">
                  <c:v>2413</c:v>
                </c:pt>
                <c:pt idx="9">
                  <c:v>3632</c:v>
                </c:pt>
                <c:pt idx="11">
                  <c:v>25444</c:v>
                </c:pt>
                <c:pt idx="12">
                  <c:v>4032</c:v>
                </c:pt>
                <c:pt idx="13">
                  <c:v>21545</c:v>
                </c:pt>
                <c:pt idx="14">
                  <c:v>4447</c:v>
                </c:pt>
                <c:pt idx="15">
                  <c:v>6176</c:v>
                </c:pt>
                <c:pt idx="16">
                  <c:v>3951</c:v>
                </c:pt>
                <c:pt idx="17">
                  <c:v>11523</c:v>
                </c:pt>
                <c:pt idx="18">
                  <c:v>8994</c:v>
                </c:pt>
                <c:pt idx="19">
                  <c:v>9052</c:v>
                </c:pt>
                <c:pt idx="20">
                  <c:v>4070</c:v>
                </c:pt>
                <c:pt idx="22">
                  <c:v>4036</c:v>
                </c:pt>
                <c:pt idx="23">
                  <c:v>24051</c:v>
                </c:pt>
                <c:pt idx="25">
                  <c:v>14090</c:v>
                </c:pt>
                <c:pt idx="26">
                  <c:v>4708</c:v>
                </c:pt>
                <c:pt idx="27">
                  <c:v>17674</c:v>
                </c:pt>
                <c:pt idx="28">
                  <c:v>9029</c:v>
                </c:pt>
                <c:pt idx="29">
                  <c:v>9491</c:v>
                </c:pt>
                <c:pt idx="30">
                  <c:v>7448</c:v>
                </c:pt>
                <c:pt idx="31">
                  <c:v>3568</c:v>
                </c:pt>
                <c:pt idx="33">
                  <c:v>11470</c:v>
                </c:pt>
                <c:pt idx="34">
                  <c:v>6469</c:v>
                </c:pt>
                <c:pt idx="35">
                  <c:v>5416</c:v>
                </c:pt>
                <c:pt idx="36">
                  <c:v>31360</c:v>
                </c:pt>
                <c:pt idx="37">
                  <c:v>10624</c:v>
                </c:pt>
                <c:pt idx="38">
                  <c:v>11294</c:v>
                </c:pt>
                <c:pt idx="39">
                  <c:v>17341</c:v>
                </c:pt>
                <c:pt idx="40">
                  <c:v>7030</c:v>
                </c:pt>
                <c:pt idx="41">
                  <c:v>2663</c:v>
                </c:pt>
                <c:pt idx="42">
                  <c:v>3052</c:v>
                </c:pt>
              </c:numCache>
            </c:numRef>
          </c:val>
        </c:ser>
        <c:gapWidth val="20"/>
        <c:overlap val="100"/>
        <c:axId val="77108594"/>
        <c:axId val="57623807"/>
      </c:barChart>
      <c:catAx>
        <c:axId val="7710859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57623807"/>
        <c:crosses val="autoZero"/>
        <c:auto val="1"/>
        <c:lblAlgn val="ctr"/>
        <c:lblOffset val="100"/>
        <c:noMultiLvlLbl val="0"/>
      </c:catAx>
      <c:valAx>
        <c:axId val="57623807"/>
        <c:scaling>
          <c:orientation val="minMax"/>
        </c:scaling>
        <c:delete val="0"/>
        <c:axPos val="l"/>
        <c:numFmt formatCode="[$-1009]0%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77108594"/>
        <c:crosses val="autoZero"/>
        <c:crossBetween val="midCat"/>
        <c:majorUnit val="0.25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400" b="1" u="none" strike="noStrike">
                <a:solidFill>
                  <a:srgbClr val="808080"/>
                </a:solidFill>
                <a:uFillTx/>
                <a:latin typeface="Arial"/>
                <a:ea typeface="DejaVu Sans"/>
              </a:rPr>
              <a:t>Visits per Provider</a:t>
            </a:r>
          </a:p>
        </c:rich>
      </c:tx>
      <c:layout>
        <c:manualLayout>
          <c:xMode val="edge"/>
          <c:yMode val="edge"/>
          <c:x val="0.00418346390811592"/>
          <c:y val="0.00039205436487192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801399558835"/>
          <c:y val="0.124673288029273"/>
          <c:w val="0.228036814482391"/>
          <c:h val="0.391662310507057"/>
        </c:manualLayout>
      </c:layout>
      <c:lineChart>
        <c:grouping val="standard"/>
        <c:varyColors val="0"/>
        <c:ser>
          <c:idx val="0"/>
          <c:order val="0"/>
          <c:tx>
            <c:strRef>
              <c:f>Main!$A$289</c:f>
              <c:strCache>
                <c:ptCount val="1"/>
                <c:pt idx="0">
                  <c:v>Visits per Provider</c:v>
                </c:pt>
              </c:strCache>
            </c:strRef>
          </c:tx>
          <c:spPr>
            <a:solidFill>
              <a:srgbClr val="B85C00">
                <a:alpha val="50000"/>
              </a:srgbClr>
            </a:solidFill>
            <a:ln w="54000">
              <a:solidFill>
                <a:srgbClr val="B85C00">
                  <a:alpha val="50000"/>
                </a:srgbClr>
              </a:solidFill>
              <a:round/>
            </a:ln>
          </c:spPr>
          <c:marker>
            <c:symbol val="circle"/>
            <c:size val="8"/>
            <c:spPr>
              <a:solidFill>
                <a:srgbClr val="B85C00"/>
              </a:solidFill>
            </c:spPr>
          </c:marker>
          <c:dPt>
            <c:idx val="2"/>
            <c:marker>
              <c:symbol val="circle"/>
              <c:size val="8"/>
              <c:spPr>
                <a:solidFill>
                  <a:srgbClr val="B85C00"/>
                </a:solidFill>
              </c:spPr>
            </c:marker>
          </c:dPt>
          <c:dLbls>
            <c:dLbl>
              <c:idx val="2"/>
              <c:numFmt formatCode="0" sourceLinked="0"/>
              <c:txPr>
                <a:bodyPr wrap="none"/>
                <a:lstStyle/>
                <a:p>
                  <a:pPr>
                    <a:defRPr sz="12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540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Main!$D$289:$F$289</c:f>
              <c:numCache>
                <c:formatCode>General</c:formatCode>
                <c:ptCount val="3"/>
                <c:pt idx="0">
                  <c:v>2083.81039718321</c:v>
                </c:pt>
                <c:pt idx="1">
                  <c:v>1253.95185468852</c:v>
                </c:pt>
                <c:pt idx="2">
                  <c:v>1231.96000592371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2950624"/>
        <c:axId val="13298372"/>
      </c:lineChart>
      <c:catAx>
        <c:axId val="9295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13298372"/>
        <c:crosses val="autoZero"/>
        <c:auto val="1"/>
        <c:lblAlgn val="ctr"/>
        <c:lblOffset val="100"/>
        <c:noMultiLvlLbl val="0"/>
      </c:catAx>
      <c:valAx>
        <c:axId val="132983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9295062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400" b="1" u="none" strike="noStrike">
                <a:solidFill>
                  <a:srgbClr val="808080"/>
                </a:solidFill>
                <a:uFillTx/>
                <a:latin typeface="Arial"/>
                <a:ea typeface="DejaVu Sans"/>
              </a:rPr>
              <a:t>Actual Costs as % Budgeted</a:t>
            </a:r>
          </a:p>
        </c:rich>
      </c:tx>
      <c:layout>
        <c:manualLayout>
          <c:xMode val="edge"/>
          <c:yMode val="edge"/>
          <c:x val="0.00400125039074711"/>
          <c:y val="0.00067001675041876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55892466395749"/>
          <c:y val="0.0796482412060302"/>
          <c:w val="0.250015629884339"/>
          <c:h val="0.334840871021776"/>
        </c:manualLayout>
      </c:layout>
      <c:lineChart>
        <c:grouping val="standard"/>
        <c:varyColors val="0"/>
        <c:ser>
          <c:idx val="0"/>
          <c:order val="0"/>
          <c:tx>
            <c:strRef>
              <c:f>Main!$A$292</c:f>
              <c:strCache>
                <c:ptCount val="1"/>
                <c:pt idx="0">
                  <c:v>Primary Care</c:v>
                </c:pt>
              </c:strCache>
            </c:strRef>
          </c:tx>
          <c:spPr>
            <a:solidFill>
              <a:srgbClr val="2A6099">
                <a:alpha val="50000"/>
              </a:srgbClr>
            </a:solidFill>
            <a:ln w="54000">
              <a:solidFill>
                <a:srgbClr val="2A6099">
                  <a:alpha val="50000"/>
                </a:srgbClr>
              </a:solidFill>
              <a:round/>
            </a:ln>
          </c:spPr>
          <c:marker>
            <c:symbol val="circle"/>
            <c:size val="8"/>
            <c:spPr>
              <a:solidFill>
                <a:srgbClr val="2A6099"/>
              </a:solidFill>
            </c:spPr>
          </c:marker>
          <c:dPt>
            <c:idx val="2"/>
            <c:marker>
              <c:symbol val="circle"/>
              <c:size val="8"/>
              <c:spPr>
                <a:solidFill>
                  <a:srgbClr val="2A6099"/>
                </a:solidFill>
              </c:spPr>
            </c:marker>
          </c:dPt>
          <c:dLbls>
            <c:dLbl>
              <c:idx val="2"/>
              <c:numFmt formatCode="0.00%" sourceLinked="0"/>
              <c:txPr>
                <a:bodyPr wrap="none"/>
                <a:lstStyle/>
                <a:p>
                  <a:pPr>
                    <a:defRPr sz="12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540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Main!$D$292:$F$292</c:f>
              <c:numCache>
                <c:formatCode>0.00%</c:formatCode>
                <c:ptCount val="3"/>
                <c:pt idx="0">
                  <c:v>0.688731458639334</c:v>
                </c:pt>
                <c:pt idx="1">
                  <c:v>0.841244574735976</c:v>
                </c:pt>
                <c:pt idx="2">
                  <c:v>0.808950618955959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808080"/>
            </a:solidFill>
            <a:ln w="28800">
              <a:solidFill>
                <a:srgbClr val="808080"/>
              </a:solidFill>
              <a:prstDash val="sysDot"/>
              <a:round/>
            </a:ln>
          </c:spPr>
          <c:marker>
            <c:symbol val="none"/>
          </c:marker>
          <c:dPt>
            <c:idx val="2"/>
            <c:marker>
              <c:symbol val="none"/>
            </c:marker>
          </c:dPt>
          <c:dLbls>
            <c:dLbl>
              <c:idx val="2"/>
              <c:numFmt formatCode="0.00%" sourceLinked="0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  <a:prstDash val="sysDot"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Main!$D$304:$F$304</c:f>
              <c:numCache>
                <c:formatCode>0.00%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Main!$A$297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B5E9B">
                <a:alpha val="50000"/>
              </a:srgbClr>
            </a:solidFill>
            <a:ln w="54000">
              <a:solidFill>
                <a:srgbClr val="6B5E9B">
                  <a:alpha val="50000"/>
                </a:srgbClr>
              </a:solidFill>
              <a:round/>
            </a:ln>
          </c:spPr>
          <c:marker>
            <c:symbol val="circle"/>
            <c:size val="8"/>
            <c:spPr>
              <a:solidFill>
                <a:srgbClr val="6B5E9B"/>
              </a:solidFill>
            </c:spPr>
          </c:marker>
          <c:dPt>
            <c:idx val="2"/>
            <c:marker>
              <c:symbol val="circle"/>
              <c:size val="8"/>
              <c:spPr>
                <a:solidFill>
                  <a:srgbClr val="6B5E9B"/>
                </a:solidFill>
              </c:spPr>
            </c:marker>
          </c:dPt>
          <c:dLbls>
            <c:dLbl>
              <c:idx val="2"/>
              <c:layout>
                <c:manualLayout>
                  <c:x val="-0.00087527352297595"/>
                  <c:y val="0.0206030150753769"/>
                </c:manualLayout>
              </c:layout>
              <c:numFmt formatCode="0.00%" sourceLinked="0"/>
              <c:txPr>
                <a:bodyPr wrap="none"/>
                <a:lstStyle/>
                <a:p>
                  <a:pPr>
                    <a:defRPr sz="12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Main!$D$297:$F$297</c:f>
              <c:numCache>
                <c:formatCode>0.00%</c:formatCode>
                <c:ptCount val="3"/>
                <c:pt idx="0">
                  <c:v>0.715430361835996</c:v>
                </c:pt>
                <c:pt idx="1">
                  <c:v>0.597449142395057</c:v>
                </c:pt>
                <c:pt idx="2">
                  <c:v>0.734492901675636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Main!$A$293</c:f>
              <c:strCache>
                <c:ptCount val="1"/>
                <c:pt idx="0">
                  <c:v>Nursing</c:v>
                </c:pt>
              </c:strCache>
            </c:strRef>
          </c:tx>
          <c:spPr>
            <a:solidFill>
              <a:srgbClr val="158466">
                <a:alpha val="50000"/>
              </a:srgbClr>
            </a:solidFill>
            <a:ln w="54000">
              <a:solidFill>
                <a:srgbClr val="158466">
                  <a:alpha val="50000"/>
                </a:srgbClr>
              </a:solidFill>
              <a:round/>
            </a:ln>
          </c:spPr>
          <c:marker>
            <c:symbol val="circle"/>
            <c:size val="8"/>
            <c:spPr>
              <a:solidFill>
                <a:srgbClr val="158466"/>
              </a:solidFill>
            </c:spPr>
          </c:marker>
          <c:dPt>
            <c:idx val="2"/>
            <c:marker>
              <c:symbol val="circle"/>
              <c:size val="8"/>
              <c:spPr>
                <a:solidFill>
                  <a:srgbClr val="158466"/>
                </a:solidFill>
              </c:spPr>
            </c:marker>
          </c:dPt>
          <c:dLbls>
            <c:dLbl>
              <c:idx val="2"/>
              <c:numFmt formatCode="0.00%" sourceLinked="0"/>
              <c:txPr>
                <a:bodyPr wrap="none"/>
                <a:lstStyle/>
                <a:p>
                  <a:pPr>
                    <a:defRPr sz="12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540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Main!$D$293:$F$293</c:f>
              <c:numCache>
                <c:formatCode>0.00%</c:formatCode>
                <c:ptCount val="3"/>
                <c:pt idx="0">
                  <c:v>0.976521533251439</c:v>
                </c:pt>
                <c:pt idx="1">
                  <c:v>1.23752156014417</c:v>
                </c:pt>
                <c:pt idx="2">
                  <c:v>1.26763494896867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Main!$A$294</c:f>
              <c:strCache>
                <c:ptCount val="1"/>
                <c:pt idx="0">
                  <c:v>Overhead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540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circle"/>
            <c:size val="8"/>
            <c:spPr>
              <a:solidFill>
                <a:srgbClr val="000000"/>
              </a:solidFill>
            </c:spPr>
          </c:marker>
          <c:dPt>
            <c:idx val="2"/>
            <c:marker>
              <c:symbol val="circle"/>
              <c:size val="8"/>
              <c:spPr>
                <a:solidFill>
                  <a:srgbClr val="000000"/>
                </a:solidFill>
              </c:spPr>
            </c:marker>
          </c:dPt>
          <c:dLbls>
            <c:dLbl>
              <c:idx val="2"/>
              <c:numFmt formatCode="0.00%" sourceLinked="0"/>
              <c:txPr>
                <a:bodyPr wrap="none"/>
                <a:lstStyle/>
                <a:p>
                  <a:pPr>
                    <a:defRPr sz="12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540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Main!$D$294:$F$294</c:f>
              <c:numCache>
                <c:formatCode>0.00%</c:formatCode>
                <c:ptCount val="3"/>
                <c:pt idx="0">
                  <c:v>1.17779830575086</c:v>
                </c:pt>
                <c:pt idx="1">
                  <c:v>1.35610791829135</c:v>
                </c:pt>
                <c:pt idx="2">
                  <c:v>1.55182641070881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4969910"/>
        <c:axId val="65858049"/>
      </c:lineChart>
      <c:catAx>
        <c:axId val="1496991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65858049"/>
        <c:crosses val="autoZero"/>
        <c:auto val="1"/>
        <c:lblAlgn val="ctr"/>
        <c:lblOffset val="100"/>
        <c:noMultiLvlLbl val="0"/>
      </c:catAx>
      <c:valAx>
        <c:axId val="65858049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1496991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400" b="1" u="none" strike="noStrike">
                <a:solidFill>
                  <a:srgbClr val="808080"/>
                </a:solidFill>
                <a:uFillTx/>
                <a:latin typeface="Arial"/>
                <a:ea typeface="DejaVu Sans"/>
              </a:rPr>
              <a:t>Actual Costs as % Budgeted</a:t>
            </a:r>
          </a:p>
        </c:rich>
      </c:tx>
      <c:layout>
        <c:manualLayout>
          <c:xMode val="edge"/>
          <c:yMode val="edge"/>
          <c:x val="0.00400125039074711"/>
          <c:y val="0.00067001675041876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55892466395749"/>
          <c:y val="0.0796482412060302"/>
          <c:w val="0.250015629884339"/>
          <c:h val="0.334840871021776"/>
        </c:manualLayout>
      </c:layout>
      <c:lineChart>
        <c:grouping val="standard"/>
        <c:varyColors val="0"/>
        <c:ser>
          <c:idx val="0"/>
          <c:order val="0"/>
          <c:tx>
            <c:strRef>
              <c:f>Main!$A$292</c:f>
              <c:strCache>
                <c:ptCount val="1"/>
                <c:pt idx="0">
                  <c:v>Primary Care</c:v>
                </c:pt>
              </c:strCache>
            </c:strRef>
          </c:tx>
          <c:spPr>
            <a:solidFill>
              <a:srgbClr val="2A6099">
                <a:alpha val="50000"/>
              </a:srgbClr>
            </a:solidFill>
            <a:ln w="54000">
              <a:solidFill>
                <a:srgbClr val="2A6099">
                  <a:alpha val="50000"/>
                </a:srgbClr>
              </a:solidFill>
              <a:round/>
            </a:ln>
          </c:spPr>
          <c:marker>
            <c:symbol val="circle"/>
            <c:size val="8"/>
            <c:spPr>
              <a:solidFill>
                <a:srgbClr val="2A6099"/>
              </a:solidFill>
            </c:spPr>
          </c:marker>
          <c:dPt>
            <c:idx val="2"/>
            <c:marker>
              <c:symbol val="circle"/>
              <c:size val="8"/>
              <c:spPr>
                <a:solidFill>
                  <a:srgbClr val="2A6099"/>
                </a:solidFill>
              </c:spPr>
            </c:marker>
          </c:dPt>
          <c:dLbls>
            <c:dLbl>
              <c:idx val="2"/>
              <c:numFmt formatCode="0.00" sourceLinked="1"/>
              <c:txPr>
                <a:bodyPr wrap="none"/>
                <a:lstStyle/>
                <a:p>
                  <a:pPr>
                    <a:defRPr sz="12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540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Main!$D$292:$F$292</c:f>
              <c:numCache>
                <c:formatCode>0.00%</c:formatCode>
                <c:ptCount val="3"/>
                <c:pt idx="0">
                  <c:v>0.688731458639334</c:v>
                </c:pt>
                <c:pt idx="1">
                  <c:v>0.841244574735976</c:v>
                </c:pt>
                <c:pt idx="2">
                  <c:v>0.808950618955959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808080"/>
            </a:solidFill>
            <a:ln w="28800">
              <a:solidFill>
                <a:srgbClr val="808080"/>
              </a:solidFill>
              <a:prstDash val="sysDot"/>
              <a:round/>
            </a:ln>
          </c:spPr>
          <c:marker>
            <c:symbol val="none"/>
          </c:marker>
          <c:dPt>
            <c:idx val="2"/>
            <c:marker>
              <c:symbol val="none"/>
            </c:marker>
          </c:dPt>
          <c:dLbls>
            <c:dLbl>
              <c:idx val="2"/>
              <c:numFmt formatCode="0.00%" sourceLinked="1"/>
              <c:txPr>
                <a:bodyPr wrap="none"/>
                <a:lstStyle/>
                <a:p>
                  <a:pPr>
                    <a:defRPr sz="10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  <a:prstDash val="sysDot"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Main!$D$304:$F$304</c:f>
              <c:numCache>
                <c:formatCode>0.00%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Main!$A$297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B5E9B">
                <a:alpha val="50000"/>
              </a:srgbClr>
            </a:solidFill>
            <a:ln w="54000">
              <a:solidFill>
                <a:srgbClr val="6B5E9B">
                  <a:alpha val="50000"/>
                </a:srgbClr>
              </a:solidFill>
              <a:round/>
            </a:ln>
          </c:spPr>
          <c:marker>
            <c:symbol val="circle"/>
            <c:size val="8"/>
            <c:spPr>
              <a:solidFill>
                <a:srgbClr val="6B5E9B"/>
              </a:solidFill>
            </c:spPr>
          </c:marker>
          <c:dPt>
            <c:idx val="2"/>
            <c:marker>
              <c:symbol val="circle"/>
              <c:size val="8"/>
              <c:spPr>
                <a:solidFill>
                  <a:srgbClr val="6B5E9B"/>
                </a:solidFill>
              </c:spPr>
            </c:marker>
          </c:dPt>
          <c:dLbls>
            <c:dLbl>
              <c:idx val="2"/>
              <c:layout>
                <c:manualLayout>
                  <c:x val="-0.00087527352297595"/>
                  <c:y val="0.0206030150753769"/>
                </c:manualLayout>
              </c:layout>
              <c:numFmt formatCode="0.00%" sourceLinked="1"/>
              <c:txPr>
                <a:bodyPr wrap="none"/>
                <a:lstStyle/>
                <a:p>
                  <a:pPr>
                    <a:defRPr sz="12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Main!$D$297:$F$297</c:f>
              <c:numCache>
                <c:formatCode>0.00%</c:formatCode>
                <c:ptCount val="3"/>
                <c:pt idx="0">
                  <c:v>0.715430361835996</c:v>
                </c:pt>
                <c:pt idx="1">
                  <c:v>0.597449142395057</c:v>
                </c:pt>
                <c:pt idx="2">
                  <c:v>0.734492901675636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Main!$A$293</c:f>
              <c:strCache>
                <c:ptCount val="1"/>
                <c:pt idx="0">
                  <c:v>Nursing</c:v>
                </c:pt>
              </c:strCache>
            </c:strRef>
          </c:tx>
          <c:spPr>
            <a:solidFill>
              <a:srgbClr val="158466">
                <a:alpha val="50000"/>
              </a:srgbClr>
            </a:solidFill>
            <a:ln w="54000">
              <a:solidFill>
                <a:srgbClr val="158466">
                  <a:alpha val="50000"/>
                </a:srgbClr>
              </a:solidFill>
              <a:round/>
            </a:ln>
          </c:spPr>
          <c:marker>
            <c:symbol val="circle"/>
            <c:size val="8"/>
            <c:spPr>
              <a:solidFill>
                <a:srgbClr val="158466"/>
              </a:solidFill>
            </c:spPr>
          </c:marker>
          <c:dPt>
            <c:idx val="2"/>
            <c:marker>
              <c:symbol val="circle"/>
              <c:size val="8"/>
              <c:spPr>
                <a:solidFill>
                  <a:srgbClr val="158466"/>
                </a:solidFill>
              </c:spPr>
            </c:marker>
          </c:dPt>
          <c:dLbls>
            <c:dLbl>
              <c:idx val="2"/>
              <c:numFmt formatCode="0.00" sourceLinked="1"/>
              <c:txPr>
                <a:bodyPr wrap="none"/>
                <a:lstStyle/>
                <a:p>
                  <a:pPr>
                    <a:defRPr sz="12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540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Main!$D$293:$F$293</c:f>
              <c:numCache>
                <c:formatCode>0.00%</c:formatCode>
                <c:ptCount val="3"/>
                <c:pt idx="0">
                  <c:v>0.976521533251439</c:v>
                </c:pt>
                <c:pt idx="1">
                  <c:v>1.23752156014417</c:v>
                </c:pt>
                <c:pt idx="2">
                  <c:v>1.26763494896867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Main!$A$294</c:f>
              <c:strCache>
                <c:ptCount val="1"/>
                <c:pt idx="0">
                  <c:v>Overhead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540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circle"/>
            <c:size val="8"/>
            <c:spPr>
              <a:solidFill>
                <a:srgbClr val="000000"/>
              </a:solidFill>
            </c:spPr>
          </c:marker>
          <c:dPt>
            <c:idx val="2"/>
            <c:marker>
              <c:symbol val="circle"/>
              <c:size val="8"/>
              <c:spPr>
                <a:solidFill>
                  <a:srgbClr val="000000"/>
                </a:solidFill>
              </c:spPr>
            </c:marker>
          </c:dPt>
          <c:dLbls>
            <c:dLbl>
              <c:idx val="2"/>
              <c:numFmt formatCode="0.00%" sourceLinked="1"/>
              <c:txPr>
                <a:bodyPr wrap="none"/>
                <a:lstStyle/>
                <a:p>
                  <a:pPr>
                    <a:defRPr sz="12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540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Main!$D$294:$F$294</c:f>
              <c:numCache>
                <c:formatCode>0.00%</c:formatCode>
                <c:ptCount val="3"/>
                <c:pt idx="0">
                  <c:v>1.17779830575086</c:v>
                </c:pt>
                <c:pt idx="1">
                  <c:v>1.35610791829135</c:v>
                </c:pt>
                <c:pt idx="2">
                  <c:v>1.55182641070881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4526399"/>
        <c:axId val="4618072"/>
      </c:lineChart>
      <c:catAx>
        <c:axId val="1452639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4618072"/>
        <c:crosses val="autoZero"/>
        <c:auto val="1"/>
        <c:lblAlgn val="ctr"/>
        <c:lblOffset val="100"/>
        <c:noMultiLvlLbl val="0"/>
      </c:catAx>
      <c:valAx>
        <c:axId val="461807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14526399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400" b="1" u="none" strike="noStrike">
                <a:solidFill>
                  <a:srgbClr val="808080"/>
                </a:solidFill>
                <a:uFillTx/>
                <a:latin typeface="Arial"/>
                <a:ea typeface="DejaVu Sans"/>
              </a:rPr>
              <a:t>Operating Costs</a:t>
            </a:r>
          </a:p>
        </c:rich>
      </c:tx>
      <c:layout>
        <c:manualLayout>
          <c:xMode val="edge"/>
          <c:yMode val="edge"/>
          <c:x val="0.00530998851894374"/>
          <c:y val="0.0061815116605788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5177956371986"/>
          <c:y val="0.149620679966283"/>
          <c:w val="0.573191733639495"/>
          <c:h val="0.561253161000281"/>
        </c:manualLayout>
      </c:layout>
      <c:lineChart>
        <c:grouping val="standard"/>
        <c:varyColors val="0"/>
        <c:ser>
          <c:idx val="0"/>
          <c:order val="0"/>
          <c:tx>
            <c:strRef>
              <c:f>Main!$A$303</c:f>
              <c:strCache>
                <c:ptCount val="1"/>
                <c:pt idx="0">
                  <c:v>Total Cost</c:v>
                </c:pt>
              </c:strCache>
            </c:strRef>
          </c:tx>
          <c:spPr>
            <a:solidFill>
              <a:srgbClr val="FF0000">
                <a:alpha val="70000"/>
              </a:srgbClr>
            </a:solidFill>
            <a:ln w="54000">
              <a:solidFill>
                <a:srgbClr val="FF0000">
                  <a:alpha val="70000"/>
                </a:srgbClr>
              </a:solidFill>
              <a:round/>
            </a:ln>
          </c:spPr>
          <c:marker>
            <c:symbol val="circle"/>
            <c:size val="8"/>
            <c:spPr>
              <a:solidFill>
                <a:srgbClr val="FF0000"/>
              </a:solidFill>
            </c:spPr>
          </c:marker>
          <c:dPt>
            <c:idx val="2"/>
            <c:marker>
              <c:symbol val="circle"/>
              <c:size val="8"/>
              <c:spPr>
                <a:solidFill>
                  <a:srgbClr val="FF0000"/>
                </a:solidFill>
              </c:spPr>
            </c:marker>
          </c:dPt>
          <c:dLbls>
            <c:dLbl>
              <c:idx val="2"/>
              <c:numFmt formatCode="[$$-1009]#,##0;[RED]\-[$$-1009]#,##0" sourceLinked="0"/>
              <c:txPr>
                <a:bodyPr wrap="none"/>
                <a:lstStyle/>
                <a:p>
                  <a:pPr>
                    <a:defRPr sz="12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540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Main!$D$303:$F$303</c:f>
              <c:numCache>
                <c:formatCode>#,##0</c:formatCode>
                <c:ptCount val="3"/>
                <c:pt idx="0">
                  <c:v>89658180</c:v>
                </c:pt>
                <c:pt idx="1">
                  <c:v>130734313</c:v>
                </c:pt>
                <c:pt idx="2">
                  <c:v>167140125.65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000720"/>
        <c:axId val="76976570"/>
      </c:lineChart>
      <c:catAx>
        <c:axId val="71000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76976570"/>
        <c:crosses val="autoZero"/>
        <c:auto val="1"/>
        <c:lblAlgn val="ctr"/>
        <c:lblOffset val="100"/>
        <c:noMultiLvlLbl val="0"/>
      </c:catAx>
      <c:valAx>
        <c:axId val="76976570"/>
        <c:scaling>
          <c:orientation val="minMax"/>
          <c:max val="175000000"/>
        </c:scaling>
        <c:delete val="0"/>
        <c:axPos val="l"/>
        <c:numFmt formatCode="\$0,,\M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71000720"/>
        <c:crosses val="autoZero"/>
        <c:crossBetween val="between"/>
        <c:majorUnit val="25000000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400" b="1" u="none" strike="noStrike">
                <a:solidFill>
                  <a:srgbClr val="808080"/>
                </a:solidFill>
                <a:uFillTx/>
                <a:latin typeface="Arial"/>
                <a:ea typeface="DejaVu Sans"/>
              </a:rPr>
              <a:t>Cost per Patient Visit</a:t>
            </a:r>
          </a:p>
        </c:rich>
      </c:tx>
      <c:layout>
        <c:manualLayout>
          <c:xMode val="edge"/>
          <c:yMode val="edge"/>
          <c:x val="0.00265688259109312"/>
          <c:y val="0.009253450439146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242914979757"/>
          <c:y val="0.197302383939774"/>
          <c:w val="0.505566801619433"/>
          <c:h val="0.626411543287328"/>
        </c:manualLayout>
      </c:layout>
      <c:lineChart>
        <c:grouping val="standard"/>
        <c:varyColors val="0"/>
        <c:ser>
          <c:idx val="0"/>
          <c:order val="0"/>
          <c:tx>
            <c:strRef>
              <c:f>Main!$A$285</c:f>
              <c:strCache>
                <c:ptCount val="1"/>
                <c:pt idx="0">
                  <c:v>Cost per Visit</c:v>
                </c:pt>
              </c:strCache>
            </c:strRef>
          </c:tx>
          <c:spPr>
            <a:solidFill>
              <a:srgbClr val="FF0000">
                <a:alpha val="70000"/>
              </a:srgbClr>
            </a:solidFill>
            <a:ln w="54000">
              <a:solidFill>
                <a:srgbClr val="FF0000">
                  <a:alpha val="70000"/>
                </a:srgbClr>
              </a:solidFill>
              <a:round/>
            </a:ln>
          </c:spPr>
          <c:marker>
            <c:symbol val="circle"/>
            <c:size val="8"/>
            <c:spPr>
              <a:solidFill>
                <a:srgbClr val="FF0000"/>
              </a:solidFill>
            </c:spPr>
          </c:marker>
          <c:dPt>
            <c:idx val="2"/>
            <c:marker>
              <c:symbol val="circle"/>
              <c:size val="8"/>
              <c:spPr>
                <a:solidFill>
                  <a:srgbClr val="FF0000"/>
                </a:solidFill>
              </c:spPr>
            </c:marker>
          </c:dPt>
          <c:dLbls>
            <c:dLbl>
              <c:idx val="2"/>
              <c:numFmt formatCode="[$$-1009]#,##0.00;[RED]\-[$$-1009]#,##0.00" sourceLinked="0"/>
              <c:txPr>
                <a:bodyPr wrap="none"/>
                <a:lstStyle/>
                <a:p>
                  <a:pPr>
                    <a:defRPr sz="12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540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Main!$D$285:$F$285</c:f>
              <c:numCache>
                <c:formatCode>0.00</c:formatCode>
                <c:ptCount val="3"/>
                <c:pt idx="0">
                  <c:v>129.051925526632</c:v>
                </c:pt>
                <c:pt idx="1">
                  <c:v>182.501375729919</c:v>
                </c:pt>
                <c:pt idx="2">
                  <c:v>186.056695987773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808080"/>
            </a:solidFill>
            <a:ln w="28800">
              <a:solidFill>
                <a:srgbClr val="808080"/>
              </a:solidFill>
              <a:prstDash val="sysDot"/>
              <a:round/>
            </a:ln>
          </c:spPr>
          <c:marker>
            <c:symbol val="none"/>
          </c:marker>
          <c:dPt>
            <c:idx val="2"/>
            <c:marker>
              <c:symbol val="none"/>
            </c:marker>
          </c:dPt>
          <c:dLbls>
            <c:dLbl>
              <c:idx val="2"/>
              <c:numFmt formatCode="[$$-1009]#,##0.00;[RED]\-[$$-1009]#,##0.00" sourceLinked="0"/>
              <c:txPr>
                <a:bodyPr wrap="none"/>
                <a:lstStyle/>
                <a:p>
                  <a:pPr>
                    <a:defRPr sz="11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  <a:prstDash val="sysDot"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Main!$D$307:$F$307</c:f>
              <c:numCache>
                <c:formatCode>General</c:formatCode>
                <c:ptCount val="3"/>
                <c:pt idx="0">
                  <c:v>57.5</c:v>
                </c:pt>
                <c:pt idx="1">
                  <c:v>57.5</c:v>
                </c:pt>
                <c:pt idx="2">
                  <c:v>57.5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808080"/>
            </a:solidFill>
            <a:ln w="28800">
              <a:solidFill>
                <a:srgbClr val="808080"/>
              </a:solidFill>
              <a:prstDash val="sysDot"/>
              <a:round/>
            </a:ln>
          </c:spPr>
          <c:marker>
            <c:symbol val="none"/>
          </c:marker>
          <c:dPt>
            <c:idx val="2"/>
            <c:marker>
              <c:symbol val="none"/>
            </c:marker>
          </c:dPt>
          <c:dLbls>
            <c:dLbl>
              <c:idx val="2"/>
              <c:numFmt formatCode="[$$-1009]#,##0.00;[RED]\-[$$-1009]#,##0.00" sourceLinked="0"/>
              <c:txPr>
                <a:bodyPr wrap="none"/>
                <a:lstStyle/>
                <a:p>
                  <a:pPr>
                    <a:defRPr sz="1100" b="0" u="none" strike="noStrike">
                      <a:solidFill>
                        <a:srgbClr val="80808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  <a:prstDash val="sysDot"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Main!$D$278:$F$278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Main!$D$306:$F$306</c:f>
              <c:numCache>
                <c:formatCode>General</c:formatCode>
                <c:ptCount val="3"/>
                <c:pt idx="0">
                  <c:v>38.61</c:v>
                </c:pt>
                <c:pt idx="1">
                  <c:v>38.61</c:v>
                </c:pt>
                <c:pt idx="2">
                  <c:v>38.61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29303"/>
        <c:axId val="82024154"/>
      </c:lineChart>
      <c:catAx>
        <c:axId val="952930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82024154"/>
        <c:crosses val="autoZero"/>
        <c:auto val="1"/>
        <c:lblAlgn val="ctr"/>
        <c:lblOffset val="100"/>
        <c:noMultiLvlLbl val="0"/>
      </c:catAx>
      <c:valAx>
        <c:axId val="82024154"/>
        <c:scaling>
          <c:orientation val="minMax"/>
        </c:scaling>
        <c:delete val="0"/>
        <c:axPos val="l"/>
        <c:numFmt formatCode="[$$-1009]#,##0;[RED]\-[$$-1009]#,##0" sourceLinked="0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800" b="0" u="none" strike="noStrike">
                <a:solidFill>
                  <a:srgbClr val="808080"/>
                </a:solidFill>
                <a:uFillTx/>
                <a:latin typeface="Arial"/>
                <a:ea typeface="DejaVu Sans"/>
              </a:defRPr>
            </a:pPr>
          </a:p>
        </c:txPr>
        <c:crossAx val="9529303"/>
        <c:crosses val="autoZero"/>
        <c:crossBetween val="between"/>
        <c:majorUnit val="40"/>
      </c:valAx>
      <c:spPr>
        <a:noFill/>
        <a:ln w="0">
          <a:noFill/>
        </a:ln>
      </c:spPr>
    </c:plotArea>
    <c:plotVisOnly val="1"/>
    <c:dispBlanksAs val="gap"/>
  </c:chart>
  <c:spPr>
    <a:noFill/>
    <a:ln w="0">
      <a:noFill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10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11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12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13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14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15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16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17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18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19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0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1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2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3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4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5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6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7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8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9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3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30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31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32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33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34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35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36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37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38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39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4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40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41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42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43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44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45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46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47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48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49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5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50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51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52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53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54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55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56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57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58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59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6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60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61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62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63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64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65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66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67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68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69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7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8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9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<Relationship Id="rId19" Type="http://schemas.openxmlformats.org/officeDocument/2006/relationships/chart" Target="../charts/chart19.xml"/><Relationship Id="rId20" Type="http://schemas.openxmlformats.org/officeDocument/2006/relationships/chart" Target="../charts/chart20.xml"/><Relationship Id="rId21" Type="http://schemas.openxmlformats.org/officeDocument/2006/relationships/chart" Target="../charts/chart21.xml"/><Relationship Id="rId22" Type="http://schemas.openxmlformats.org/officeDocument/2006/relationships/chart" Target="../charts/chart22.xml"/><Relationship Id="rId23" Type="http://schemas.openxmlformats.org/officeDocument/2006/relationships/chart" Target="../charts/chart23.xml"/><Relationship Id="rId24" Type="http://schemas.openxmlformats.org/officeDocument/2006/relationships/chart" Target="../charts/chart24.xml"/><Relationship Id="rId25" Type="http://schemas.openxmlformats.org/officeDocument/2006/relationships/chart" Target="../charts/chart25.xml"/><Relationship Id="rId26" Type="http://schemas.openxmlformats.org/officeDocument/2006/relationships/chart" Target="../charts/chart26.xml"/><Relationship Id="rId27" Type="http://schemas.openxmlformats.org/officeDocument/2006/relationships/chart" Target="../charts/chart27.xml"/><Relationship Id="rId28" Type="http://schemas.openxmlformats.org/officeDocument/2006/relationships/chart" Target="../charts/chart28.xml"/><Relationship Id="rId29" Type="http://schemas.openxmlformats.org/officeDocument/2006/relationships/chart" Target="../charts/chart29.xml"/><Relationship Id="rId30" Type="http://schemas.openxmlformats.org/officeDocument/2006/relationships/chart" Target="../charts/chart30.xml"/><Relationship Id="rId31" Type="http://schemas.openxmlformats.org/officeDocument/2006/relationships/chart" Target="../charts/chart31.xml"/><Relationship Id="rId32" Type="http://schemas.openxmlformats.org/officeDocument/2006/relationships/chart" Target="../charts/chart32.xml"/><Relationship Id="rId33" Type="http://schemas.openxmlformats.org/officeDocument/2006/relationships/chart" Target="../charts/chart33.xml"/><Relationship Id="rId34" Type="http://schemas.openxmlformats.org/officeDocument/2006/relationships/chart" Target="../charts/chart34.xml"/><Relationship Id="rId35" Type="http://schemas.openxmlformats.org/officeDocument/2006/relationships/chart" Target="../charts/chart35.xml"/><Relationship Id="rId36" Type="http://schemas.openxmlformats.org/officeDocument/2006/relationships/chart" Target="../charts/chart36.xml"/><Relationship Id="rId37" Type="http://schemas.openxmlformats.org/officeDocument/2006/relationships/chart" Target="../charts/chart37.xml"/><Relationship Id="rId38" Type="http://schemas.openxmlformats.org/officeDocument/2006/relationships/chart" Target="../charts/chart38.xml"/><Relationship Id="rId39" Type="http://schemas.openxmlformats.org/officeDocument/2006/relationships/chart" Target="../charts/chart39.xml"/><Relationship Id="rId40" Type="http://schemas.openxmlformats.org/officeDocument/2006/relationships/chart" Target="../charts/chart40.xml"/><Relationship Id="rId41" Type="http://schemas.openxmlformats.org/officeDocument/2006/relationships/chart" Target="../charts/chart41.xml"/><Relationship Id="rId42" Type="http://schemas.openxmlformats.org/officeDocument/2006/relationships/chart" Target="../charts/chart42.xml"/><Relationship Id="rId43" Type="http://schemas.openxmlformats.org/officeDocument/2006/relationships/chart" Target="../charts/chart43.xml"/><Relationship Id="rId44" Type="http://schemas.openxmlformats.org/officeDocument/2006/relationships/chart" Target="../charts/chart44.xml"/><Relationship Id="rId45" Type="http://schemas.openxmlformats.org/officeDocument/2006/relationships/chart" Target="../charts/chart45.xml"/><Relationship Id="rId46" Type="http://schemas.openxmlformats.org/officeDocument/2006/relationships/chart" Target="../charts/chart46.xml"/><Relationship Id="rId47" Type="http://schemas.openxmlformats.org/officeDocument/2006/relationships/chart" Target="../charts/chart47.xml"/><Relationship Id="rId48" Type="http://schemas.openxmlformats.org/officeDocument/2006/relationships/chart" Target="../charts/chart48.xml"/><Relationship Id="rId49" Type="http://schemas.openxmlformats.org/officeDocument/2006/relationships/chart" Target="../charts/chart49.xml"/><Relationship Id="rId50" Type="http://schemas.openxmlformats.org/officeDocument/2006/relationships/chart" Target="../charts/chart50.xml"/><Relationship Id="rId51" Type="http://schemas.openxmlformats.org/officeDocument/2006/relationships/chart" Target="../charts/chart51.xml"/><Relationship Id="rId52" Type="http://schemas.openxmlformats.org/officeDocument/2006/relationships/chart" Target="../charts/chart52.xml"/><Relationship Id="rId53" Type="http://schemas.openxmlformats.org/officeDocument/2006/relationships/chart" Target="../charts/chart53.xml"/><Relationship Id="rId54" Type="http://schemas.openxmlformats.org/officeDocument/2006/relationships/chart" Target="../charts/chart54.xml"/><Relationship Id="rId55" Type="http://schemas.openxmlformats.org/officeDocument/2006/relationships/chart" Target="../charts/chart55.xml"/><Relationship Id="rId56" Type="http://schemas.openxmlformats.org/officeDocument/2006/relationships/chart" Target="../charts/chart56.xml"/><Relationship Id="rId57" Type="http://schemas.openxmlformats.org/officeDocument/2006/relationships/chart" Target="../charts/chart57.xml"/><Relationship Id="rId58" Type="http://schemas.openxmlformats.org/officeDocument/2006/relationships/chart" Target="../charts/chart58.xml"/><Relationship Id="rId59" Type="http://schemas.openxmlformats.org/officeDocument/2006/relationships/chart" Target="../charts/chart59.xml"/><Relationship Id="rId60" Type="http://schemas.openxmlformats.org/officeDocument/2006/relationships/chart" Target="../charts/chart60.xml"/><Relationship Id="rId61" Type="http://schemas.openxmlformats.org/officeDocument/2006/relationships/chart" Target="../charts/chart61.xml"/><Relationship Id="rId62" Type="http://schemas.openxmlformats.org/officeDocument/2006/relationships/chart" Target="../charts/chart62.xml"/><Relationship Id="rId63" Type="http://schemas.openxmlformats.org/officeDocument/2006/relationships/chart" Target="../charts/chart63.xml"/><Relationship Id="rId64" Type="http://schemas.openxmlformats.org/officeDocument/2006/relationships/chart" Target="../charts/chart64.xml"/><Relationship Id="rId65" Type="http://schemas.openxmlformats.org/officeDocument/2006/relationships/chart" Target="../charts/chart65.xml"/><Relationship Id="rId66" Type="http://schemas.openxmlformats.org/officeDocument/2006/relationships/chart" Target="../charts/chart66.xml"/><Relationship Id="rId67" Type="http://schemas.openxmlformats.org/officeDocument/2006/relationships/chart" Target="../charts/chart67.xml"/><Relationship Id="rId68" Type="http://schemas.openxmlformats.org/officeDocument/2006/relationships/chart" Target="../charts/chart68.xml"/><Relationship Id="rId69" Type="http://schemas.openxmlformats.org/officeDocument/2006/relationships/chart" Target="../charts/chart6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578880</xdr:colOff>
      <xdr:row>498</xdr:row>
      <xdr:rowOff>15480</xdr:rowOff>
    </xdr:from>
    <xdr:to>
      <xdr:col>16</xdr:col>
      <xdr:colOff>464760</xdr:colOff>
      <xdr:row>551</xdr:row>
      <xdr:rowOff>24840</xdr:rowOff>
    </xdr:to>
    <xdr:graphicFrame>
      <xdr:nvGraphicFramePr>
        <xdr:cNvPr id="1" name=""/>
        <xdr:cNvGraphicFramePr/>
      </xdr:nvGraphicFramePr>
      <xdr:xfrm>
        <a:off x="6941520" y="80746920"/>
        <a:ext cx="7201080" cy="862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20520</xdr:colOff>
      <xdr:row>360</xdr:row>
      <xdr:rowOff>38160</xdr:rowOff>
    </xdr:from>
    <xdr:to>
      <xdr:col>9</xdr:col>
      <xdr:colOff>144360</xdr:colOff>
      <xdr:row>400</xdr:row>
      <xdr:rowOff>36000</xdr:rowOff>
    </xdr:to>
    <xdr:graphicFrame>
      <xdr:nvGraphicFramePr>
        <xdr:cNvPr id="2" name=""/>
        <xdr:cNvGraphicFramePr/>
      </xdr:nvGraphicFramePr>
      <xdr:xfrm rot="10800">
        <a:off x="3944520" y="58335480"/>
        <a:ext cx="4187880" cy="6500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638280</xdr:colOff>
      <xdr:row>505</xdr:row>
      <xdr:rowOff>80280</xdr:rowOff>
    </xdr:from>
    <xdr:to>
      <xdr:col>22</xdr:col>
      <xdr:colOff>258120</xdr:colOff>
      <xdr:row>544</xdr:row>
      <xdr:rowOff>33120</xdr:rowOff>
    </xdr:to>
    <xdr:graphicFrame>
      <xdr:nvGraphicFramePr>
        <xdr:cNvPr id="3" name=""/>
        <xdr:cNvGraphicFramePr/>
      </xdr:nvGraphicFramePr>
      <xdr:xfrm>
        <a:off x="14316120" y="81949680"/>
        <a:ext cx="4496760" cy="6292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267120</xdr:colOff>
      <xdr:row>406</xdr:row>
      <xdr:rowOff>102960</xdr:rowOff>
    </xdr:from>
    <xdr:to>
      <xdr:col>31</xdr:col>
      <xdr:colOff>146520</xdr:colOff>
      <xdr:row>448</xdr:row>
      <xdr:rowOff>30240</xdr:rowOff>
    </xdr:to>
    <xdr:graphicFrame>
      <xdr:nvGraphicFramePr>
        <xdr:cNvPr id="4" name=""/>
        <xdr:cNvGraphicFramePr/>
      </xdr:nvGraphicFramePr>
      <xdr:xfrm>
        <a:off x="18821880" y="65878920"/>
        <a:ext cx="6381720" cy="6754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12</xdr:col>
      <xdr:colOff>383760</xdr:colOff>
      <xdr:row>407</xdr:row>
      <xdr:rowOff>46800</xdr:rowOff>
    </xdr:from>
    <xdr:to>
      <xdr:col>17</xdr:col>
      <xdr:colOff>606240</xdr:colOff>
      <xdr:row>450</xdr:row>
      <xdr:rowOff>90360</xdr:rowOff>
    </xdr:to>
    <xdr:graphicFrame>
      <xdr:nvGraphicFramePr>
        <xdr:cNvPr id="5" name=""/>
        <xdr:cNvGraphicFramePr/>
      </xdr:nvGraphicFramePr>
      <xdr:xfrm>
        <a:off x="10810440" y="65985120"/>
        <a:ext cx="4286520" cy="703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4</xdr:col>
      <xdr:colOff>6480</xdr:colOff>
      <xdr:row>341</xdr:row>
      <xdr:rowOff>18000</xdr:rowOff>
    </xdr:from>
    <xdr:to>
      <xdr:col>7</xdr:col>
      <xdr:colOff>124200</xdr:colOff>
      <xdr:row>357</xdr:row>
      <xdr:rowOff>64440</xdr:rowOff>
    </xdr:to>
    <xdr:graphicFrame>
      <xdr:nvGraphicFramePr>
        <xdr:cNvPr id="6" name=""/>
        <xdr:cNvGraphicFramePr/>
      </xdr:nvGraphicFramePr>
      <xdr:xfrm>
        <a:off x="3930840" y="55238760"/>
        <a:ext cx="2556000" cy="2637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15</xdr:col>
      <xdr:colOff>247320</xdr:colOff>
      <xdr:row>340</xdr:row>
      <xdr:rowOff>113400</xdr:rowOff>
    </xdr:from>
    <xdr:to>
      <xdr:col>22</xdr:col>
      <xdr:colOff>315360</xdr:colOff>
      <xdr:row>367</xdr:row>
      <xdr:rowOff>39600</xdr:rowOff>
    </xdr:to>
    <xdr:graphicFrame>
      <xdr:nvGraphicFramePr>
        <xdr:cNvPr id="7" name=""/>
        <xdr:cNvGraphicFramePr/>
      </xdr:nvGraphicFramePr>
      <xdr:xfrm rot="21587400">
        <a:off x="13111920" y="55172160"/>
        <a:ext cx="5757840" cy="429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7</xdr:col>
      <xdr:colOff>6840</xdr:colOff>
      <xdr:row>341</xdr:row>
      <xdr:rowOff>48240</xdr:rowOff>
    </xdr:from>
    <xdr:to>
      <xdr:col>10</xdr:col>
      <xdr:colOff>76320</xdr:colOff>
      <xdr:row>357</xdr:row>
      <xdr:rowOff>19440</xdr:rowOff>
    </xdr:to>
    <xdr:graphicFrame>
      <xdr:nvGraphicFramePr>
        <xdr:cNvPr id="8" name=""/>
        <xdr:cNvGraphicFramePr/>
      </xdr:nvGraphicFramePr>
      <xdr:xfrm>
        <a:off x="6369480" y="55269000"/>
        <a:ext cx="2508120" cy="2562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9</xdr:col>
      <xdr:colOff>660240</xdr:colOff>
      <xdr:row>341</xdr:row>
      <xdr:rowOff>101880</xdr:rowOff>
    </xdr:from>
    <xdr:to>
      <xdr:col>13</xdr:col>
      <xdr:colOff>254160</xdr:colOff>
      <xdr:row>355</xdr:row>
      <xdr:rowOff>129960</xdr:rowOff>
    </xdr:to>
    <xdr:graphicFrame>
      <xdr:nvGraphicFramePr>
        <xdr:cNvPr id="9" name=""/>
        <xdr:cNvGraphicFramePr/>
      </xdr:nvGraphicFramePr>
      <xdr:xfrm>
        <a:off x="8648640" y="55322640"/>
        <a:ext cx="2845080" cy="2295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2</xdr:col>
      <xdr:colOff>72000</xdr:colOff>
      <xdr:row>503</xdr:row>
      <xdr:rowOff>33480</xdr:rowOff>
    </xdr:from>
    <xdr:to>
      <xdr:col>8</xdr:col>
      <xdr:colOff>698040</xdr:colOff>
      <xdr:row>529</xdr:row>
      <xdr:rowOff>126720</xdr:rowOff>
    </xdr:to>
    <xdr:graphicFrame>
      <xdr:nvGraphicFramePr>
        <xdr:cNvPr id="10" name=""/>
        <xdr:cNvGraphicFramePr/>
      </xdr:nvGraphicFramePr>
      <xdr:xfrm>
        <a:off x="2106720" y="81577800"/>
        <a:ext cx="57668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3</xdr:col>
      <xdr:colOff>400680</xdr:colOff>
      <xdr:row>569</xdr:row>
      <xdr:rowOff>99000</xdr:rowOff>
    </xdr:from>
    <xdr:to>
      <xdr:col>7</xdr:col>
      <xdr:colOff>237600</xdr:colOff>
      <xdr:row>585</xdr:row>
      <xdr:rowOff>134280</xdr:rowOff>
    </xdr:to>
    <xdr:graphicFrame>
      <xdr:nvGraphicFramePr>
        <xdr:cNvPr id="11" name=""/>
        <xdr:cNvGraphicFramePr/>
      </xdr:nvGraphicFramePr>
      <xdr:xfrm>
        <a:off x="3512160" y="92372040"/>
        <a:ext cx="3088080" cy="2636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9</xdr:col>
      <xdr:colOff>498960</xdr:colOff>
      <xdr:row>556</xdr:row>
      <xdr:rowOff>97560</xdr:rowOff>
    </xdr:from>
    <xdr:to>
      <xdr:col>13</xdr:col>
      <xdr:colOff>402120</xdr:colOff>
      <xdr:row>596</xdr:row>
      <xdr:rowOff>135360</xdr:rowOff>
    </xdr:to>
    <xdr:graphicFrame>
      <xdr:nvGraphicFramePr>
        <xdr:cNvPr id="12" name=""/>
        <xdr:cNvGraphicFramePr/>
      </xdr:nvGraphicFramePr>
      <xdr:xfrm>
        <a:off x="8487360" y="90257400"/>
        <a:ext cx="3154320" cy="6540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6</xdr:col>
      <xdr:colOff>644400</xdr:colOff>
      <xdr:row>555</xdr:row>
      <xdr:rowOff>103680</xdr:rowOff>
    </xdr:from>
    <xdr:to>
      <xdr:col>11</xdr:col>
      <xdr:colOff>22320</xdr:colOff>
      <xdr:row>598</xdr:row>
      <xdr:rowOff>9720</xdr:rowOff>
    </xdr:to>
    <xdr:graphicFrame>
      <xdr:nvGraphicFramePr>
        <xdr:cNvPr id="13" name=""/>
        <xdr:cNvGraphicFramePr/>
      </xdr:nvGraphicFramePr>
      <xdr:xfrm>
        <a:off x="6194160" y="90100800"/>
        <a:ext cx="3441960" cy="689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18</xdr:col>
      <xdr:colOff>349200</xdr:colOff>
      <xdr:row>406</xdr:row>
      <xdr:rowOff>40320</xdr:rowOff>
    </xdr:from>
    <xdr:to>
      <xdr:col>21</xdr:col>
      <xdr:colOff>267120</xdr:colOff>
      <xdr:row>448</xdr:row>
      <xdr:rowOff>23760</xdr:rowOff>
    </xdr:to>
    <xdr:graphicFrame>
      <xdr:nvGraphicFramePr>
        <xdr:cNvPr id="14" name=""/>
        <xdr:cNvGraphicFramePr/>
      </xdr:nvGraphicFramePr>
      <xdr:xfrm>
        <a:off x="15652800" y="65816280"/>
        <a:ext cx="2356200" cy="681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8</xdr:col>
      <xdr:colOff>114120</xdr:colOff>
      <xdr:row>456</xdr:row>
      <xdr:rowOff>49680</xdr:rowOff>
    </xdr:from>
    <xdr:to>
      <xdr:col>11</xdr:col>
      <xdr:colOff>141120</xdr:colOff>
      <xdr:row>495</xdr:row>
      <xdr:rowOff>114840</xdr:rowOff>
    </xdr:to>
    <xdr:graphicFrame>
      <xdr:nvGraphicFramePr>
        <xdr:cNvPr id="15" name=""/>
        <xdr:cNvGraphicFramePr/>
      </xdr:nvGraphicFramePr>
      <xdr:xfrm>
        <a:off x="7289640" y="73953360"/>
        <a:ext cx="2465280" cy="6405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80</xdr:col>
      <xdr:colOff>809640</xdr:colOff>
      <xdr:row>246</xdr:row>
      <xdr:rowOff>159840</xdr:rowOff>
    </xdr:from>
    <xdr:to>
      <xdr:col>89</xdr:col>
      <xdr:colOff>694080</xdr:colOff>
      <xdr:row>298</xdr:row>
      <xdr:rowOff>5760</xdr:rowOff>
    </xdr:to>
    <xdr:graphicFrame>
      <xdr:nvGraphicFramePr>
        <xdr:cNvPr id="16" name=""/>
        <xdr:cNvGraphicFramePr/>
      </xdr:nvGraphicFramePr>
      <xdr:xfrm>
        <a:off x="63781200" y="39997800"/>
        <a:ext cx="7199640" cy="8265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4</xdr:col>
      <xdr:colOff>256680</xdr:colOff>
      <xdr:row>456</xdr:row>
      <xdr:rowOff>11520</xdr:rowOff>
    </xdr:from>
    <xdr:to>
      <xdr:col>8</xdr:col>
      <xdr:colOff>374040</xdr:colOff>
      <xdr:row>495</xdr:row>
      <xdr:rowOff>76680</xdr:rowOff>
    </xdr:to>
    <xdr:graphicFrame>
      <xdr:nvGraphicFramePr>
        <xdr:cNvPr id="17" name=""/>
        <xdr:cNvGraphicFramePr/>
      </xdr:nvGraphicFramePr>
      <xdr:xfrm rot="4200">
        <a:off x="4181040" y="73915200"/>
        <a:ext cx="3368520" cy="6405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10</xdr:col>
      <xdr:colOff>398160</xdr:colOff>
      <xdr:row>454</xdr:row>
      <xdr:rowOff>154080</xdr:rowOff>
    </xdr:from>
    <xdr:to>
      <xdr:col>14</xdr:col>
      <xdr:colOff>688320</xdr:colOff>
      <xdr:row>497</xdr:row>
      <xdr:rowOff>48960</xdr:rowOff>
    </xdr:to>
    <xdr:graphicFrame>
      <xdr:nvGraphicFramePr>
        <xdr:cNvPr id="18" name=""/>
        <xdr:cNvGraphicFramePr/>
      </xdr:nvGraphicFramePr>
      <xdr:xfrm>
        <a:off x="9199440" y="73732680"/>
        <a:ext cx="3541320" cy="6885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17</xdr:col>
      <xdr:colOff>731160</xdr:colOff>
      <xdr:row>455</xdr:row>
      <xdr:rowOff>58320</xdr:rowOff>
    </xdr:from>
    <xdr:to>
      <xdr:col>21</xdr:col>
      <xdr:colOff>497160</xdr:colOff>
      <xdr:row>496</xdr:row>
      <xdr:rowOff>14760</xdr:rowOff>
    </xdr:to>
    <xdr:graphicFrame>
      <xdr:nvGraphicFramePr>
        <xdr:cNvPr id="19" name=""/>
        <xdr:cNvGraphicFramePr/>
      </xdr:nvGraphicFramePr>
      <xdr:xfrm>
        <a:off x="15221880" y="73799640"/>
        <a:ext cx="3017160" cy="662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10</xdr:col>
      <xdr:colOff>210600</xdr:colOff>
      <xdr:row>360</xdr:row>
      <xdr:rowOff>21240</xdr:rowOff>
    </xdr:from>
    <xdr:to>
      <xdr:col>14</xdr:col>
      <xdr:colOff>745920</xdr:colOff>
      <xdr:row>401</xdr:row>
      <xdr:rowOff>93960</xdr:rowOff>
    </xdr:to>
    <xdr:graphicFrame>
      <xdr:nvGraphicFramePr>
        <xdr:cNvPr id="20" name=""/>
        <xdr:cNvGraphicFramePr/>
      </xdr:nvGraphicFramePr>
      <xdr:xfrm>
        <a:off x="9011880" y="58318560"/>
        <a:ext cx="3786480" cy="6738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15</xdr:col>
      <xdr:colOff>86400</xdr:colOff>
      <xdr:row>363</xdr:row>
      <xdr:rowOff>102240</xdr:rowOff>
    </xdr:from>
    <xdr:to>
      <xdr:col>19</xdr:col>
      <xdr:colOff>597240</xdr:colOff>
      <xdr:row>403</xdr:row>
      <xdr:rowOff>84960</xdr:rowOff>
    </xdr:to>
    <xdr:graphicFrame>
      <xdr:nvGraphicFramePr>
        <xdr:cNvPr id="21" name=""/>
        <xdr:cNvGraphicFramePr/>
      </xdr:nvGraphicFramePr>
      <xdr:xfrm>
        <a:off x="12951360" y="58885560"/>
        <a:ext cx="3762360" cy="6487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15</xdr:col>
      <xdr:colOff>710280</xdr:colOff>
      <xdr:row>359</xdr:row>
      <xdr:rowOff>93960</xdr:rowOff>
    </xdr:from>
    <xdr:to>
      <xdr:col>20</xdr:col>
      <xdr:colOff>454680</xdr:colOff>
      <xdr:row>364</xdr:row>
      <xdr:rowOff>82440</xdr:rowOff>
    </xdr:to>
    <xdr:graphicFrame>
      <xdr:nvGraphicFramePr>
        <xdr:cNvPr id="22" name=""/>
        <xdr:cNvGraphicFramePr/>
      </xdr:nvGraphicFramePr>
      <xdr:xfrm>
        <a:off x="13575240" y="58229640"/>
        <a:ext cx="3808440" cy="798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14</xdr:col>
      <xdr:colOff>727200</xdr:colOff>
      <xdr:row>456</xdr:row>
      <xdr:rowOff>45720</xdr:rowOff>
    </xdr:from>
    <xdr:to>
      <xdr:col>18</xdr:col>
      <xdr:colOff>216360</xdr:colOff>
      <xdr:row>496</xdr:row>
      <xdr:rowOff>156240</xdr:rowOff>
    </xdr:to>
    <xdr:graphicFrame>
      <xdr:nvGraphicFramePr>
        <xdr:cNvPr id="23" name=""/>
        <xdr:cNvGraphicFramePr/>
      </xdr:nvGraphicFramePr>
      <xdr:xfrm>
        <a:off x="12779640" y="73949400"/>
        <a:ext cx="2740320" cy="661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21</xdr:col>
      <xdr:colOff>755640</xdr:colOff>
      <xdr:row>456</xdr:row>
      <xdr:rowOff>159120</xdr:rowOff>
    </xdr:from>
    <xdr:to>
      <xdr:col>26</xdr:col>
      <xdr:colOff>763560</xdr:colOff>
      <xdr:row>497</xdr:row>
      <xdr:rowOff>57600</xdr:rowOff>
    </xdr:to>
    <xdr:graphicFrame>
      <xdr:nvGraphicFramePr>
        <xdr:cNvPr id="24" name=""/>
        <xdr:cNvGraphicFramePr/>
      </xdr:nvGraphicFramePr>
      <xdr:xfrm>
        <a:off x="18497520" y="74062800"/>
        <a:ext cx="3259080" cy="6563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5</xdr:col>
      <xdr:colOff>238680</xdr:colOff>
      <xdr:row>450</xdr:row>
      <xdr:rowOff>147240</xdr:rowOff>
    </xdr:from>
    <xdr:to>
      <xdr:col>8</xdr:col>
      <xdr:colOff>464400</xdr:colOff>
      <xdr:row>455</xdr:row>
      <xdr:rowOff>39960</xdr:rowOff>
    </xdr:to>
    <xdr:graphicFrame>
      <xdr:nvGraphicFramePr>
        <xdr:cNvPr id="25" name=""/>
        <xdr:cNvGraphicFramePr/>
      </xdr:nvGraphicFramePr>
      <xdr:xfrm rot="2400">
        <a:off x="4975920" y="73075680"/>
        <a:ext cx="2664000" cy="705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oneCell">
    <xdr:from>
      <xdr:col>11</xdr:col>
      <xdr:colOff>696960</xdr:colOff>
      <xdr:row>450</xdr:row>
      <xdr:rowOff>50040</xdr:rowOff>
    </xdr:from>
    <xdr:to>
      <xdr:col>14</xdr:col>
      <xdr:colOff>757440</xdr:colOff>
      <xdr:row>454</xdr:row>
      <xdr:rowOff>98280</xdr:rowOff>
    </xdr:to>
    <xdr:graphicFrame>
      <xdr:nvGraphicFramePr>
        <xdr:cNvPr id="26" name=""/>
        <xdr:cNvGraphicFramePr/>
      </xdr:nvGraphicFramePr>
      <xdr:xfrm>
        <a:off x="10310760" y="72978480"/>
        <a:ext cx="2499120" cy="698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oneCell">
    <xdr:from>
      <xdr:col>18</xdr:col>
      <xdr:colOff>526320</xdr:colOff>
      <xdr:row>451</xdr:row>
      <xdr:rowOff>48960</xdr:rowOff>
    </xdr:from>
    <xdr:to>
      <xdr:col>22</xdr:col>
      <xdr:colOff>369720</xdr:colOff>
      <xdr:row>455</xdr:row>
      <xdr:rowOff>92880</xdr:rowOff>
    </xdr:to>
    <xdr:graphicFrame>
      <xdr:nvGraphicFramePr>
        <xdr:cNvPr id="27" name=""/>
        <xdr:cNvGraphicFramePr/>
      </xdr:nvGraphicFramePr>
      <xdr:xfrm>
        <a:off x="15829920" y="73140120"/>
        <a:ext cx="3094560" cy="694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oneCell">
    <xdr:from>
      <xdr:col>8</xdr:col>
      <xdr:colOff>209880</xdr:colOff>
      <xdr:row>450</xdr:row>
      <xdr:rowOff>133200</xdr:rowOff>
    </xdr:from>
    <xdr:to>
      <xdr:col>11</xdr:col>
      <xdr:colOff>363240</xdr:colOff>
      <xdr:row>456</xdr:row>
      <xdr:rowOff>83880</xdr:rowOff>
    </xdr:to>
    <xdr:graphicFrame>
      <xdr:nvGraphicFramePr>
        <xdr:cNvPr id="28" name=""/>
        <xdr:cNvGraphicFramePr/>
      </xdr:nvGraphicFramePr>
      <xdr:xfrm>
        <a:off x="7385400" y="73061640"/>
        <a:ext cx="2591640" cy="92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oneCell">
    <xdr:from>
      <xdr:col>14</xdr:col>
      <xdr:colOff>217440</xdr:colOff>
      <xdr:row>449</xdr:row>
      <xdr:rowOff>137520</xdr:rowOff>
    </xdr:from>
    <xdr:to>
      <xdr:col>18</xdr:col>
      <xdr:colOff>216720</xdr:colOff>
      <xdr:row>456</xdr:row>
      <xdr:rowOff>5400</xdr:rowOff>
    </xdr:to>
    <xdr:graphicFrame>
      <xdr:nvGraphicFramePr>
        <xdr:cNvPr id="29" name=""/>
        <xdr:cNvGraphicFramePr/>
      </xdr:nvGraphicFramePr>
      <xdr:xfrm>
        <a:off x="12269880" y="72903600"/>
        <a:ext cx="3250440" cy="1005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 editAs="oneCell">
    <xdr:from>
      <xdr:col>21</xdr:col>
      <xdr:colOff>336600</xdr:colOff>
      <xdr:row>451</xdr:row>
      <xdr:rowOff>78840</xdr:rowOff>
    </xdr:from>
    <xdr:to>
      <xdr:col>25</xdr:col>
      <xdr:colOff>785520</xdr:colOff>
      <xdr:row>456</xdr:row>
      <xdr:rowOff>133560</xdr:rowOff>
    </xdr:to>
    <xdr:graphicFrame>
      <xdr:nvGraphicFramePr>
        <xdr:cNvPr id="30" name=""/>
        <xdr:cNvGraphicFramePr/>
      </xdr:nvGraphicFramePr>
      <xdr:xfrm>
        <a:off x="18078480" y="73170000"/>
        <a:ext cx="2887200" cy="867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 editAs="oneCell">
    <xdr:from>
      <xdr:col>4</xdr:col>
      <xdr:colOff>389160</xdr:colOff>
      <xdr:row>418</xdr:row>
      <xdr:rowOff>145440</xdr:rowOff>
    </xdr:from>
    <xdr:to>
      <xdr:col>9</xdr:col>
      <xdr:colOff>399240</xdr:colOff>
      <xdr:row>426</xdr:row>
      <xdr:rowOff>83880</xdr:rowOff>
    </xdr:to>
    <xdr:graphicFrame>
      <xdr:nvGraphicFramePr>
        <xdr:cNvPr id="31" name=""/>
        <xdr:cNvGraphicFramePr/>
      </xdr:nvGraphicFramePr>
      <xdr:xfrm>
        <a:off x="4313520" y="67871880"/>
        <a:ext cx="4074120" cy="1239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 editAs="oneCell">
    <xdr:from>
      <xdr:col>4</xdr:col>
      <xdr:colOff>109080</xdr:colOff>
      <xdr:row>409</xdr:row>
      <xdr:rowOff>88920</xdr:rowOff>
    </xdr:from>
    <xdr:to>
      <xdr:col>9</xdr:col>
      <xdr:colOff>385560</xdr:colOff>
      <xdr:row>419</xdr:row>
      <xdr:rowOff>61920</xdr:rowOff>
    </xdr:to>
    <xdr:graphicFrame>
      <xdr:nvGraphicFramePr>
        <xdr:cNvPr id="32" name=""/>
        <xdr:cNvGraphicFramePr/>
      </xdr:nvGraphicFramePr>
      <xdr:xfrm rot="21597600">
        <a:off x="4033080" y="66351960"/>
        <a:ext cx="4340520" cy="159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23</xdr:col>
      <xdr:colOff>186120</xdr:colOff>
      <xdr:row>601</xdr:row>
      <xdr:rowOff>61200</xdr:rowOff>
    </xdr:from>
    <xdr:to>
      <xdr:col>28</xdr:col>
      <xdr:colOff>489240</xdr:colOff>
      <xdr:row>617</xdr:row>
      <xdr:rowOff>122400</xdr:rowOff>
    </xdr:to>
    <xdr:graphicFrame>
      <xdr:nvGraphicFramePr>
        <xdr:cNvPr id="33" name=""/>
        <xdr:cNvGraphicFramePr/>
      </xdr:nvGraphicFramePr>
      <xdr:xfrm>
        <a:off x="19553760" y="97536240"/>
        <a:ext cx="3554280" cy="26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 editAs="oneCell">
    <xdr:from>
      <xdr:col>22</xdr:col>
      <xdr:colOff>796680</xdr:colOff>
      <xdr:row>613</xdr:row>
      <xdr:rowOff>112320</xdr:rowOff>
    </xdr:from>
    <xdr:to>
      <xdr:col>27</xdr:col>
      <xdr:colOff>633600</xdr:colOff>
      <xdr:row>629</xdr:row>
      <xdr:rowOff>147600</xdr:rowOff>
    </xdr:to>
    <xdr:graphicFrame>
      <xdr:nvGraphicFramePr>
        <xdr:cNvPr id="34" name=""/>
        <xdr:cNvGraphicFramePr/>
      </xdr:nvGraphicFramePr>
      <xdr:xfrm>
        <a:off x="19351440" y="99538200"/>
        <a:ext cx="3088080" cy="2636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 editAs="oneCell">
    <xdr:from>
      <xdr:col>45</xdr:col>
      <xdr:colOff>345240</xdr:colOff>
      <xdr:row>599</xdr:row>
      <xdr:rowOff>51480</xdr:rowOff>
    </xdr:from>
    <xdr:to>
      <xdr:col>52</xdr:col>
      <xdr:colOff>115560</xdr:colOff>
      <xdr:row>643</xdr:row>
      <xdr:rowOff>124920</xdr:rowOff>
    </xdr:to>
    <xdr:graphicFrame>
      <xdr:nvGraphicFramePr>
        <xdr:cNvPr id="35" name=""/>
        <xdr:cNvGraphicFramePr/>
      </xdr:nvGraphicFramePr>
      <xdr:xfrm>
        <a:off x="36781560" y="97201440"/>
        <a:ext cx="3834360" cy="722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 editAs="oneCell">
    <xdr:from>
      <xdr:col>27</xdr:col>
      <xdr:colOff>315000</xdr:colOff>
      <xdr:row>599</xdr:row>
      <xdr:rowOff>83880</xdr:rowOff>
    </xdr:from>
    <xdr:to>
      <xdr:col>31</xdr:col>
      <xdr:colOff>505800</xdr:colOff>
      <xdr:row>641</xdr:row>
      <xdr:rowOff>152640</xdr:rowOff>
    </xdr:to>
    <xdr:graphicFrame>
      <xdr:nvGraphicFramePr>
        <xdr:cNvPr id="36" name=""/>
        <xdr:cNvGraphicFramePr/>
      </xdr:nvGraphicFramePr>
      <xdr:xfrm>
        <a:off x="22120920" y="97233840"/>
        <a:ext cx="3441960" cy="689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 editAs="oneCell">
    <xdr:from>
      <xdr:col>30</xdr:col>
      <xdr:colOff>547920</xdr:colOff>
      <xdr:row>600</xdr:row>
      <xdr:rowOff>87840</xdr:rowOff>
    </xdr:from>
    <xdr:to>
      <xdr:col>34</xdr:col>
      <xdr:colOff>451080</xdr:colOff>
      <xdr:row>640</xdr:row>
      <xdr:rowOff>125280</xdr:rowOff>
    </xdr:to>
    <xdr:graphicFrame>
      <xdr:nvGraphicFramePr>
        <xdr:cNvPr id="37" name=""/>
        <xdr:cNvGraphicFramePr/>
      </xdr:nvGraphicFramePr>
      <xdr:xfrm>
        <a:off x="24792120" y="97400160"/>
        <a:ext cx="3154320" cy="6540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 editAs="oneCell">
    <xdr:from>
      <xdr:col>3</xdr:col>
      <xdr:colOff>403920</xdr:colOff>
      <xdr:row>599</xdr:row>
      <xdr:rowOff>82080</xdr:rowOff>
    </xdr:from>
    <xdr:to>
      <xdr:col>7</xdr:col>
      <xdr:colOff>707040</xdr:colOff>
      <xdr:row>615</xdr:row>
      <xdr:rowOff>143280</xdr:rowOff>
    </xdr:to>
    <xdr:graphicFrame>
      <xdr:nvGraphicFramePr>
        <xdr:cNvPr id="38" name=""/>
        <xdr:cNvGraphicFramePr/>
      </xdr:nvGraphicFramePr>
      <xdr:xfrm>
        <a:off x="3515400" y="97232040"/>
        <a:ext cx="3554280" cy="26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 editAs="oneCell">
    <xdr:from>
      <xdr:col>3</xdr:col>
      <xdr:colOff>329040</xdr:colOff>
      <xdr:row>611</xdr:row>
      <xdr:rowOff>128160</xdr:rowOff>
    </xdr:from>
    <xdr:to>
      <xdr:col>7</xdr:col>
      <xdr:colOff>165960</xdr:colOff>
      <xdr:row>628</xdr:row>
      <xdr:rowOff>1080</xdr:rowOff>
    </xdr:to>
    <xdr:graphicFrame>
      <xdr:nvGraphicFramePr>
        <xdr:cNvPr id="39" name=""/>
        <xdr:cNvGraphicFramePr/>
      </xdr:nvGraphicFramePr>
      <xdr:xfrm>
        <a:off x="3440520" y="99228960"/>
        <a:ext cx="3088080" cy="2636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 editAs="oneCell">
    <xdr:from>
      <xdr:col>45</xdr:col>
      <xdr:colOff>716040</xdr:colOff>
      <xdr:row>554</xdr:row>
      <xdr:rowOff>65880</xdr:rowOff>
    </xdr:from>
    <xdr:to>
      <xdr:col>52</xdr:col>
      <xdr:colOff>486360</xdr:colOff>
      <xdr:row>598</xdr:row>
      <xdr:rowOff>139320</xdr:rowOff>
    </xdr:to>
    <xdr:graphicFrame>
      <xdr:nvGraphicFramePr>
        <xdr:cNvPr id="40" name=""/>
        <xdr:cNvGraphicFramePr/>
      </xdr:nvGraphicFramePr>
      <xdr:xfrm>
        <a:off x="37152360" y="89900640"/>
        <a:ext cx="3834360" cy="722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 editAs="oneCell">
    <xdr:from>
      <xdr:col>6</xdr:col>
      <xdr:colOff>390960</xdr:colOff>
      <xdr:row>596</xdr:row>
      <xdr:rowOff>151920</xdr:rowOff>
    </xdr:from>
    <xdr:to>
      <xdr:col>10</xdr:col>
      <xdr:colOff>581400</xdr:colOff>
      <xdr:row>639</xdr:row>
      <xdr:rowOff>57960</xdr:rowOff>
    </xdr:to>
    <xdr:graphicFrame>
      <xdr:nvGraphicFramePr>
        <xdr:cNvPr id="41" name=""/>
        <xdr:cNvGraphicFramePr/>
      </xdr:nvGraphicFramePr>
      <xdr:xfrm>
        <a:off x="5940720" y="96814080"/>
        <a:ext cx="3441960" cy="689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 editAs="oneCell">
    <xdr:from>
      <xdr:col>9</xdr:col>
      <xdr:colOff>71280</xdr:colOff>
      <xdr:row>598</xdr:row>
      <xdr:rowOff>68400</xdr:rowOff>
    </xdr:from>
    <xdr:to>
      <xdr:col>12</xdr:col>
      <xdr:colOff>787320</xdr:colOff>
      <xdr:row>638</xdr:row>
      <xdr:rowOff>105840</xdr:rowOff>
    </xdr:to>
    <xdr:graphicFrame>
      <xdr:nvGraphicFramePr>
        <xdr:cNvPr id="42" name=""/>
        <xdr:cNvGraphicFramePr/>
      </xdr:nvGraphicFramePr>
      <xdr:xfrm>
        <a:off x="8059680" y="97055640"/>
        <a:ext cx="3154320" cy="6540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 editAs="oneCell">
    <xdr:from>
      <xdr:col>17</xdr:col>
      <xdr:colOff>366480</xdr:colOff>
      <xdr:row>553</xdr:row>
      <xdr:rowOff>27360</xdr:rowOff>
    </xdr:from>
    <xdr:to>
      <xdr:col>21</xdr:col>
      <xdr:colOff>557280</xdr:colOff>
      <xdr:row>595</xdr:row>
      <xdr:rowOff>95760</xdr:rowOff>
    </xdr:to>
    <xdr:graphicFrame>
      <xdr:nvGraphicFramePr>
        <xdr:cNvPr id="43" name=""/>
        <xdr:cNvGraphicFramePr/>
      </xdr:nvGraphicFramePr>
      <xdr:xfrm>
        <a:off x="14857200" y="89699400"/>
        <a:ext cx="3441960" cy="689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 editAs="oneCell">
    <xdr:from>
      <xdr:col>20</xdr:col>
      <xdr:colOff>500040</xdr:colOff>
      <xdr:row>554</xdr:row>
      <xdr:rowOff>122760</xdr:rowOff>
    </xdr:from>
    <xdr:to>
      <xdr:col>25</xdr:col>
      <xdr:colOff>403200</xdr:colOff>
      <xdr:row>594</xdr:row>
      <xdr:rowOff>160560</xdr:rowOff>
    </xdr:to>
    <xdr:graphicFrame>
      <xdr:nvGraphicFramePr>
        <xdr:cNvPr id="44" name=""/>
        <xdr:cNvGraphicFramePr/>
      </xdr:nvGraphicFramePr>
      <xdr:xfrm>
        <a:off x="17429040" y="89957520"/>
        <a:ext cx="3154320" cy="6540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 editAs="oneCell">
    <xdr:from>
      <xdr:col>14</xdr:col>
      <xdr:colOff>581400</xdr:colOff>
      <xdr:row>575</xdr:row>
      <xdr:rowOff>157680</xdr:rowOff>
    </xdr:from>
    <xdr:to>
      <xdr:col>18</xdr:col>
      <xdr:colOff>418320</xdr:colOff>
      <xdr:row>592</xdr:row>
      <xdr:rowOff>30600</xdr:rowOff>
    </xdr:to>
    <xdr:graphicFrame>
      <xdr:nvGraphicFramePr>
        <xdr:cNvPr id="45" name=""/>
        <xdr:cNvGraphicFramePr/>
      </xdr:nvGraphicFramePr>
      <xdr:xfrm>
        <a:off x="12633840" y="93406320"/>
        <a:ext cx="3088080" cy="2636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 editAs="oneCell">
    <xdr:from>
      <xdr:col>3</xdr:col>
      <xdr:colOff>665640</xdr:colOff>
      <xdr:row>519</xdr:row>
      <xdr:rowOff>50760</xdr:rowOff>
    </xdr:from>
    <xdr:to>
      <xdr:col>7</xdr:col>
      <xdr:colOff>242640</xdr:colOff>
      <xdr:row>537</xdr:row>
      <xdr:rowOff>24120</xdr:rowOff>
    </xdr:to>
    <xdr:graphicFrame>
      <xdr:nvGraphicFramePr>
        <xdr:cNvPr id="46" name=""/>
        <xdr:cNvGraphicFramePr/>
      </xdr:nvGraphicFramePr>
      <xdr:xfrm>
        <a:off x="3777120" y="84195720"/>
        <a:ext cx="2828160" cy="289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 editAs="oneCell">
    <xdr:from>
      <xdr:col>22</xdr:col>
      <xdr:colOff>532800</xdr:colOff>
      <xdr:row>506</xdr:row>
      <xdr:rowOff>65160</xdr:rowOff>
    </xdr:from>
    <xdr:to>
      <xdr:col>26</xdr:col>
      <xdr:colOff>428040</xdr:colOff>
      <xdr:row>543</xdr:row>
      <xdr:rowOff>133920</xdr:rowOff>
    </xdr:to>
    <xdr:graphicFrame>
      <xdr:nvGraphicFramePr>
        <xdr:cNvPr id="47" name=""/>
        <xdr:cNvGraphicFramePr/>
      </xdr:nvGraphicFramePr>
      <xdr:xfrm>
        <a:off x="19087560" y="82096920"/>
        <a:ext cx="2333520" cy="608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 editAs="oneCell">
    <xdr:from>
      <xdr:col>22</xdr:col>
      <xdr:colOff>297720</xdr:colOff>
      <xdr:row>501</xdr:row>
      <xdr:rowOff>52920</xdr:rowOff>
    </xdr:from>
    <xdr:to>
      <xdr:col>26</xdr:col>
      <xdr:colOff>303120</xdr:colOff>
      <xdr:row>506</xdr:row>
      <xdr:rowOff>720</xdr:rowOff>
    </xdr:to>
    <xdr:graphicFrame>
      <xdr:nvGraphicFramePr>
        <xdr:cNvPr id="48" name=""/>
        <xdr:cNvGraphicFramePr/>
      </xdr:nvGraphicFramePr>
      <xdr:xfrm>
        <a:off x="18852480" y="81271800"/>
        <a:ext cx="2443680" cy="760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 editAs="oneCell">
    <xdr:from>
      <xdr:col>3</xdr:col>
      <xdr:colOff>477360</xdr:colOff>
      <xdr:row>556</xdr:row>
      <xdr:rowOff>109440</xdr:rowOff>
    </xdr:from>
    <xdr:to>
      <xdr:col>7</xdr:col>
      <xdr:colOff>780480</xdr:colOff>
      <xdr:row>573</xdr:row>
      <xdr:rowOff>8280</xdr:rowOff>
    </xdr:to>
    <xdr:graphicFrame>
      <xdr:nvGraphicFramePr>
        <xdr:cNvPr id="49" name=""/>
        <xdr:cNvGraphicFramePr/>
      </xdr:nvGraphicFramePr>
      <xdr:xfrm>
        <a:off x="3588840" y="90269280"/>
        <a:ext cx="3554280" cy="26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 editAs="oneCell">
    <xdr:from>
      <xdr:col>14</xdr:col>
      <xdr:colOff>715680</xdr:colOff>
      <xdr:row>558</xdr:row>
      <xdr:rowOff>91800</xdr:rowOff>
    </xdr:from>
    <xdr:to>
      <xdr:col>19</xdr:col>
      <xdr:colOff>205920</xdr:colOff>
      <xdr:row>574</xdr:row>
      <xdr:rowOff>153000</xdr:rowOff>
    </xdr:to>
    <xdr:graphicFrame>
      <xdr:nvGraphicFramePr>
        <xdr:cNvPr id="50" name=""/>
        <xdr:cNvGraphicFramePr/>
      </xdr:nvGraphicFramePr>
      <xdr:xfrm>
        <a:off x="12768120" y="90576720"/>
        <a:ext cx="3554280" cy="26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 editAs="oneCell">
    <xdr:from>
      <xdr:col>13</xdr:col>
      <xdr:colOff>777600</xdr:colOff>
      <xdr:row>600</xdr:row>
      <xdr:rowOff>99720</xdr:rowOff>
    </xdr:from>
    <xdr:to>
      <xdr:col>18</xdr:col>
      <xdr:colOff>267840</xdr:colOff>
      <xdr:row>616</xdr:row>
      <xdr:rowOff>160920</xdr:rowOff>
    </xdr:to>
    <xdr:graphicFrame>
      <xdr:nvGraphicFramePr>
        <xdr:cNvPr id="51" name=""/>
        <xdr:cNvGraphicFramePr/>
      </xdr:nvGraphicFramePr>
      <xdr:xfrm>
        <a:off x="12017160" y="97412040"/>
        <a:ext cx="3554280" cy="26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 editAs="oneCell">
    <xdr:from>
      <xdr:col>13</xdr:col>
      <xdr:colOff>525240</xdr:colOff>
      <xdr:row>613</xdr:row>
      <xdr:rowOff>4320</xdr:rowOff>
    </xdr:from>
    <xdr:to>
      <xdr:col>17</xdr:col>
      <xdr:colOff>362160</xdr:colOff>
      <xdr:row>629</xdr:row>
      <xdr:rowOff>39600</xdr:rowOff>
    </xdr:to>
    <xdr:graphicFrame>
      <xdr:nvGraphicFramePr>
        <xdr:cNvPr id="52" name=""/>
        <xdr:cNvGraphicFramePr/>
      </xdr:nvGraphicFramePr>
      <xdr:xfrm>
        <a:off x="11764800" y="99430200"/>
        <a:ext cx="3088080" cy="2636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 editAs="oneCell">
    <xdr:from>
      <xdr:col>15</xdr:col>
      <xdr:colOff>759240</xdr:colOff>
      <xdr:row>598</xdr:row>
      <xdr:rowOff>127440</xdr:rowOff>
    </xdr:from>
    <xdr:to>
      <xdr:col>20</xdr:col>
      <xdr:colOff>137160</xdr:colOff>
      <xdr:row>641</xdr:row>
      <xdr:rowOff>33480</xdr:rowOff>
    </xdr:to>
    <xdr:graphicFrame>
      <xdr:nvGraphicFramePr>
        <xdr:cNvPr id="53" name=""/>
        <xdr:cNvGraphicFramePr/>
      </xdr:nvGraphicFramePr>
      <xdr:xfrm>
        <a:off x="13624200" y="97114680"/>
        <a:ext cx="3441960" cy="689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 editAs="oneCell">
    <xdr:from>
      <xdr:col>17</xdr:col>
      <xdr:colOff>807480</xdr:colOff>
      <xdr:row>600</xdr:row>
      <xdr:rowOff>41400</xdr:rowOff>
    </xdr:from>
    <xdr:to>
      <xdr:col>21</xdr:col>
      <xdr:colOff>710640</xdr:colOff>
      <xdr:row>640</xdr:row>
      <xdr:rowOff>78840</xdr:rowOff>
    </xdr:to>
    <xdr:graphicFrame>
      <xdr:nvGraphicFramePr>
        <xdr:cNvPr id="54" name=""/>
        <xdr:cNvGraphicFramePr/>
      </xdr:nvGraphicFramePr>
      <xdr:xfrm>
        <a:off x="15298200" y="97353720"/>
        <a:ext cx="3154320" cy="6540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 editAs="oneCell">
    <xdr:from>
      <xdr:col>6</xdr:col>
      <xdr:colOff>100440</xdr:colOff>
      <xdr:row>651</xdr:row>
      <xdr:rowOff>52560</xdr:rowOff>
    </xdr:from>
    <xdr:to>
      <xdr:col>10</xdr:col>
      <xdr:colOff>290880</xdr:colOff>
      <xdr:row>693</xdr:row>
      <xdr:rowOff>121320</xdr:rowOff>
    </xdr:to>
    <xdr:graphicFrame>
      <xdr:nvGraphicFramePr>
        <xdr:cNvPr id="55" name=""/>
        <xdr:cNvGraphicFramePr/>
      </xdr:nvGraphicFramePr>
      <xdr:xfrm>
        <a:off x="5650200" y="105655680"/>
        <a:ext cx="3441960" cy="689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 editAs="oneCell">
    <xdr:from>
      <xdr:col>8</xdr:col>
      <xdr:colOff>496800</xdr:colOff>
      <xdr:row>651</xdr:row>
      <xdr:rowOff>55080</xdr:rowOff>
    </xdr:from>
    <xdr:to>
      <xdr:col>12</xdr:col>
      <xdr:colOff>687600</xdr:colOff>
      <xdr:row>693</xdr:row>
      <xdr:rowOff>123840</xdr:rowOff>
    </xdr:to>
    <xdr:graphicFrame>
      <xdr:nvGraphicFramePr>
        <xdr:cNvPr id="56" name=""/>
        <xdr:cNvGraphicFramePr/>
      </xdr:nvGraphicFramePr>
      <xdr:xfrm>
        <a:off x="7672320" y="105658200"/>
        <a:ext cx="3441960" cy="689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 editAs="oneCell">
    <xdr:from>
      <xdr:col>13</xdr:col>
      <xdr:colOff>725400</xdr:colOff>
      <xdr:row>651</xdr:row>
      <xdr:rowOff>26640</xdr:rowOff>
    </xdr:from>
    <xdr:to>
      <xdr:col>18</xdr:col>
      <xdr:colOff>293760</xdr:colOff>
      <xdr:row>697</xdr:row>
      <xdr:rowOff>77040</xdr:rowOff>
    </xdr:to>
    <xdr:graphicFrame>
      <xdr:nvGraphicFramePr>
        <xdr:cNvPr id="57" name=""/>
        <xdr:cNvGraphicFramePr/>
      </xdr:nvGraphicFramePr>
      <xdr:xfrm>
        <a:off x="11964960" y="105629760"/>
        <a:ext cx="3632400" cy="752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 editAs="oneCell">
    <xdr:from>
      <xdr:col>17</xdr:col>
      <xdr:colOff>136800</xdr:colOff>
      <xdr:row>650</xdr:row>
      <xdr:rowOff>23040</xdr:rowOff>
    </xdr:from>
    <xdr:to>
      <xdr:col>21</xdr:col>
      <xdr:colOff>518040</xdr:colOff>
      <xdr:row>696</xdr:row>
      <xdr:rowOff>73080</xdr:rowOff>
    </xdr:to>
    <xdr:graphicFrame>
      <xdr:nvGraphicFramePr>
        <xdr:cNvPr id="58" name=""/>
        <xdr:cNvGraphicFramePr/>
      </xdr:nvGraphicFramePr>
      <xdr:xfrm>
        <a:off x="14627520" y="105463440"/>
        <a:ext cx="3632400" cy="752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 editAs="oneCell">
    <xdr:from>
      <xdr:col>19</xdr:col>
      <xdr:colOff>376200</xdr:colOff>
      <xdr:row>650</xdr:row>
      <xdr:rowOff>3960</xdr:rowOff>
    </xdr:from>
    <xdr:to>
      <xdr:col>23</xdr:col>
      <xdr:colOff>757440</xdr:colOff>
      <xdr:row>696</xdr:row>
      <xdr:rowOff>54000</xdr:rowOff>
    </xdr:to>
    <xdr:graphicFrame>
      <xdr:nvGraphicFramePr>
        <xdr:cNvPr id="59" name=""/>
        <xdr:cNvGraphicFramePr/>
      </xdr:nvGraphicFramePr>
      <xdr:xfrm>
        <a:off x="16492680" y="105444360"/>
        <a:ext cx="3632400" cy="752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 editAs="oneCell">
    <xdr:from>
      <xdr:col>3</xdr:col>
      <xdr:colOff>365760</xdr:colOff>
      <xdr:row>649</xdr:row>
      <xdr:rowOff>94320</xdr:rowOff>
    </xdr:from>
    <xdr:to>
      <xdr:col>6</xdr:col>
      <xdr:colOff>400320</xdr:colOff>
      <xdr:row>666</xdr:row>
      <xdr:rowOff>70920</xdr:rowOff>
    </xdr:to>
    <xdr:graphicFrame>
      <xdr:nvGraphicFramePr>
        <xdr:cNvPr id="60" name=""/>
        <xdr:cNvGraphicFramePr/>
      </xdr:nvGraphicFramePr>
      <xdr:xfrm>
        <a:off x="3477240" y="105372360"/>
        <a:ext cx="2472840" cy="2739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 editAs="oneCell">
    <xdr:from>
      <xdr:col>3</xdr:col>
      <xdr:colOff>218880</xdr:colOff>
      <xdr:row>663</xdr:row>
      <xdr:rowOff>13320</xdr:rowOff>
    </xdr:from>
    <xdr:to>
      <xdr:col>7</xdr:col>
      <xdr:colOff>268200</xdr:colOff>
      <xdr:row>678</xdr:row>
      <xdr:rowOff>65160</xdr:rowOff>
    </xdr:to>
    <xdr:graphicFrame>
      <xdr:nvGraphicFramePr>
        <xdr:cNvPr id="61" name=""/>
        <xdr:cNvGraphicFramePr/>
      </xdr:nvGraphicFramePr>
      <xdr:xfrm>
        <a:off x="3330360" y="107566920"/>
        <a:ext cx="3300480" cy="249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 editAs="oneCell">
    <xdr:from>
      <xdr:col>3</xdr:col>
      <xdr:colOff>289800</xdr:colOff>
      <xdr:row>675</xdr:row>
      <xdr:rowOff>87120</xdr:rowOff>
    </xdr:from>
    <xdr:to>
      <xdr:col>9</xdr:col>
      <xdr:colOff>145440</xdr:colOff>
      <xdr:row>692</xdr:row>
      <xdr:rowOff>77760</xdr:rowOff>
    </xdr:to>
    <xdr:graphicFrame>
      <xdr:nvGraphicFramePr>
        <xdr:cNvPr id="62" name=""/>
        <xdr:cNvGraphicFramePr/>
      </xdr:nvGraphicFramePr>
      <xdr:xfrm>
        <a:off x="3401280" y="109591560"/>
        <a:ext cx="4732560" cy="2754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 editAs="oneCell">
    <xdr:from>
      <xdr:col>3</xdr:col>
      <xdr:colOff>727920</xdr:colOff>
      <xdr:row>698</xdr:row>
      <xdr:rowOff>86400</xdr:rowOff>
    </xdr:from>
    <xdr:to>
      <xdr:col>9</xdr:col>
      <xdr:colOff>191520</xdr:colOff>
      <xdr:row>708</xdr:row>
      <xdr:rowOff>59760</xdr:rowOff>
    </xdr:to>
    <xdr:graphicFrame>
      <xdr:nvGraphicFramePr>
        <xdr:cNvPr id="63" name=""/>
        <xdr:cNvGraphicFramePr/>
      </xdr:nvGraphicFramePr>
      <xdr:xfrm rot="21597600">
        <a:off x="3839040" y="113329440"/>
        <a:ext cx="4340520" cy="159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 editAs="oneCell">
    <xdr:from>
      <xdr:col>17</xdr:col>
      <xdr:colOff>507600</xdr:colOff>
      <xdr:row>499</xdr:row>
      <xdr:rowOff>136440</xdr:rowOff>
    </xdr:from>
    <xdr:to>
      <xdr:col>22</xdr:col>
      <xdr:colOff>446040</xdr:colOff>
      <xdr:row>508</xdr:row>
      <xdr:rowOff>70200</xdr:rowOff>
    </xdr:to>
    <xdr:graphicFrame>
      <xdr:nvGraphicFramePr>
        <xdr:cNvPr id="64" name=""/>
        <xdr:cNvGraphicFramePr/>
      </xdr:nvGraphicFramePr>
      <xdr:xfrm>
        <a:off x="14998320" y="81030240"/>
        <a:ext cx="4002480" cy="139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 editAs="oneCell">
    <xdr:from>
      <xdr:col>20</xdr:col>
      <xdr:colOff>718200</xdr:colOff>
      <xdr:row>361</xdr:row>
      <xdr:rowOff>91080</xdr:rowOff>
    </xdr:from>
    <xdr:to>
      <xdr:col>28</xdr:col>
      <xdr:colOff>787680</xdr:colOff>
      <xdr:row>391</xdr:row>
      <xdr:rowOff>122400</xdr:rowOff>
    </xdr:to>
    <xdr:graphicFrame>
      <xdr:nvGraphicFramePr>
        <xdr:cNvPr id="65" name=""/>
        <xdr:cNvGraphicFramePr/>
      </xdr:nvGraphicFramePr>
      <xdr:xfrm>
        <a:off x="17647200" y="58550400"/>
        <a:ext cx="5759280" cy="4909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 editAs="oneCell">
    <xdr:from>
      <xdr:col>28</xdr:col>
      <xdr:colOff>388080</xdr:colOff>
      <xdr:row>360</xdr:row>
      <xdr:rowOff>72000</xdr:rowOff>
    </xdr:from>
    <xdr:to>
      <xdr:col>34</xdr:col>
      <xdr:colOff>8280</xdr:colOff>
      <xdr:row>399</xdr:row>
      <xdr:rowOff>23760</xdr:rowOff>
    </xdr:to>
    <xdr:graphicFrame>
      <xdr:nvGraphicFramePr>
        <xdr:cNvPr id="66" name=""/>
        <xdr:cNvGraphicFramePr/>
      </xdr:nvGraphicFramePr>
      <xdr:xfrm>
        <a:off x="23006880" y="58369320"/>
        <a:ext cx="4496760" cy="6292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 editAs="oneCell">
    <xdr:from>
      <xdr:col>34</xdr:col>
      <xdr:colOff>376200</xdr:colOff>
      <xdr:row>361</xdr:row>
      <xdr:rowOff>136800</xdr:rowOff>
    </xdr:from>
    <xdr:to>
      <xdr:col>37</xdr:col>
      <xdr:colOff>271080</xdr:colOff>
      <xdr:row>399</xdr:row>
      <xdr:rowOff>41760</xdr:rowOff>
    </xdr:to>
    <xdr:graphicFrame>
      <xdr:nvGraphicFramePr>
        <xdr:cNvPr id="67" name=""/>
        <xdr:cNvGraphicFramePr/>
      </xdr:nvGraphicFramePr>
      <xdr:xfrm>
        <a:off x="27871560" y="58596120"/>
        <a:ext cx="2333520" cy="608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 editAs="oneCell">
    <xdr:from>
      <xdr:col>12</xdr:col>
      <xdr:colOff>587520</xdr:colOff>
      <xdr:row>341</xdr:row>
      <xdr:rowOff>23040</xdr:rowOff>
    </xdr:from>
    <xdr:to>
      <xdr:col>18</xdr:col>
      <xdr:colOff>443160</xdr:colOff>
      <xdr:row>358</xdr:row>
      <xdr:rowOff>24480</xdr:rowOff>
    </xdr:to>
    <xdr:graphicFrame>
      <xdr:nvGraphicFramePr>
        <xdr:cNvPr id="68" name=""/>
        <xdr:cNvGraphicFramePr/>
      </xdr:nvGraphicFramePr>
      <xdr:xfrm>
        <a:off x="11014200" y="55243800"/>
        <a:ext cx="4732560" cy="2754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 editAs="oneCell">
    <xdr:from>
      <xdr:col>3</xdr:col>
      <xdr:colOff>496440</xdr:colOff>
      <xdr:row>532</xdr:row>
      <xdr:rowOff>123120</xdr:rowOff>
    </xdr:from>
    <xdr:to>
      <xdr:col>10</xdr:col>
      <xdr:colOff>564480</xdr:colOff>
      <xdr:row>559</xdr:row>
      <xdr:rowOff>32040</xdr:rowOff>
    </xdr:to>
    <xdr:graphicFrame>
      <xdr:nvGraphicFramePr>
        <xdr:cNvPr id="69" name=""/>
        <xdr:cNvGraphicFramePr/>
      </xdr:nvGraphicFramePr>
      <xdr:xfrm rot="21587400">
        <a:off x="3607560" y="86381280"/>
        <a:ext cx="5757840" cy="429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BJ721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pane xSplit="3" ySplit="6" topLeftCell="D70" activePane="bottomRight" state="frozen"/>
      <selection pane="topLeft" activeCell="A1" activeCellId="0" sqref="A1"/>
      <selection pane="topRight" activeCell="D1" activeCellId="0" sqref="D1"/>
      <selection pane="bottomLeft" activeCell="A70" activeCellId="0" sqref="A70"/>
      <selection pane="bottomRight" activeCell="A100" activeCellId="0" sqref="A100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20.79"/>
    <col collapsed="false" customWidth="true" hidden="false" outlineLevel="0" max="2" min="2" style="1" width="8.07"/>
    <col collapsed="false" customWidth="true" hidden="false" outlineLevel="0" max="3" min="3" style="1" width="15.28"/>
    <col collapsed="false" customWidth="false" hidden="true" outlineLevel="0" max="25" min="25" style="2" width="11.53"/>
    <col collapsed="false" customWidth="false" hidden="true" outlineLevel="0" max="49" min="48" style="2" width="11.53"/>
    <col collapsed="false" customWidth="true" hidden="false" outlineLevel="0" max="58" min="58" style="2" width="7.46"/>
  </cols>
  <sheetData>
    <row r="3" customFormat="false" ht="12.8" hidden="false" customHeight="false" outlineLevel="0" collapsed="false">
      <c r="AI3" s="3"/>
      <c r="AJ3" s="3"/>
      <c r="AK3" s="3"/>
    </row>
    <row r="4" customFormat="false" ht="12.8" hidden="false" customHeight="false" outlineLevel="0" collapsed="false">
      <c r="A4" s="4"/>
      <c r="B4" s="4"/>
      <c r="C4" s="4"/>
      <c r="D4" s="4" t="s">
        <v>0</v>
      </c>
      <c r="E4" s="4" t="s">
        <v>0</v>
      </c>
      <c r="F4" s="4" t="s">
        <v>0</v>
      </c>
      <c r="G4" s="4" t="s">
        <v>0</v>
      </c>
      <c r="H4" s="4" t="s">
        <v>0</v>
      </c>
      <c r="I4" s="4" t="s">
        <v>0</v>
      </c>
      <c r="J4" s="4" t="s">
        <v>0</v>
      </c>
      <c r="K4" s="4" t="s">
        <v>0</v>
      </c>
      <c r="L4" s="4" t="s">
        <v>0</v>
      </c>
      <c r="M4" s="4" t="s">
        <v>0</v>
      </c>
      <c r="N4" s="4"/>
      <c r="O4" s="4" t="s">
        <v>1</v>
      </c>
      <c r="P4" s="4" t="s">
        <v>1</v>
      </c>
      <c r="Q4" s="4" t="s">
        <v>1</v>
      </c>
      <c r="R4" s="4" t="s">
        <v>1</v>
      </c>
      <c r="S4" s="4" t="s">
        <v>1</v>
      </c>
      <c r="T4" s="4" t="s">
        <v>1</v>
      </c>
      <c r="U4" s="4" t="s">
        <v>1</v>
      </c>
      <c r="V4" s="4" t="s">
        <v>1</v>
      </c>
      <c r="W4" s="4" t="s">
        <v>1</v>
      </c>
      <c r="X4" s="4" t="s">
        <v>1</v>
      </c>
      <c r="Y4" s="4" t="s">
        <v>1</v>
      </c>
      <c r="Z4" s="4"/>
      <c r="AA4" s="4" t="s">
        <v>2</v>
      </c>
      <c r="AB4" s="4" t="s">
        <v>2</v>
      </c>
      <c r="AC4" s="4"/>
      <c r="AD4" s="4" t="s">
        <v>3</v>
      </c>
      <c r="AE4" s="4" t="s">
        <v>3</v>
      </c>
      <c r="AF4" s="4" t="s">
        <v>3</v>
      </c>
      <c r="AG4" s="4" t="s">
        <v>3</v>
      </c>
      <c r="AH4" s="4" t="s">
        <v>3</v>
      </c>
      <c r="AI4" s="4" t="s">
        <v>3</v>
      </c>
      <c r="AJ4" s="4" t="s">
        <v>3</v>
      </c>
      <c r="AK4" s="4"/>
      <c r="AL4" s="4" t="s">
        <v>4</v>
      </c>
      <c r="AM4" s="4" t="s">
        <v>4</v>
      </c>
      <c r="AN4" s="4" t="s">
        <v>4</v>
      </c>
      <c r="AO4" s="4" t="s">
        <v>4</v>
      </c>
      <c r="AP4" s="4" t="s">
        <v>4</v>
      </c>
      <c r="AQ4" s="4" t="s">
        <v>4</v>
      </c>
      <c r="AR4" s="4" t="s">
        <v>4</v>
      </c>
      <c r="AS4" s="4" t="s">
        <v>4</v>
      </c>
      <c r="AT4" s="4" t="s">
        <v>4</v>
      </c>
      <c r="AU4" s="4" t="s">
        <v>4</v>
      </c>
      <c r="AV4" s="4" t="s">
        <v>4</v>
      </c>
      <c r="AW4" s="4" t="s">
        <v>4</v>
      </c>
      <c r="AX4" s="4"/>
      <c r="AY4" s="4" t="s">
        <v>4</v>
      </c>
      <c r="AZ4" s="4" t="s">
        <v>0</v>
      </c>
      <c r="BA4" s="4" t="s">
        <v>1</v>
      </c>
      <c r="BB4" s="4" t="s">
        <v>2</v>
      </c>
      <c r="BC4" s="4" t="s">
        <v>3</v>
      </c>
      <c r="BD4" s="4"/>
      <c r="BE4" s="5" t="s">
        <v>5</v>
      </c>
      <c r="BF4" s="3"/>
      <c r="BG4" s="3"/>
      <c r="BH4" s="3"/>
      <c r="BI4" s="2"/>
      <c r="BJ4" s="2"/>
    </row>
    <row r="5" customFormat="false" ht="12.8" hidden="false" customHeight="false" outlineLevel="0" collapsed="false"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/>
      <c r="O5" s="5" t="s">
        <v>16</v>
      </c>
      <c r="P5" s="5" t="s">
        <v>17</v>
      </c>
      <c r="Q5" s="5" t="s">
        <v>18</v>
      </c>
      <c r="R5" s="5" t="s">
        <v>19</v>
      </c>
      <c r="S5" s="5" t="s">
        <v>20</v>
      </c>
      <c r="T5" s="5" t="s">
        <v>21</v>
      </c>
      <c r="U5" s="5" t="s">
        <v>22</v>
      </c>
      <c r="V5" s="5" t="s">
        <v>23</v>
      </c>
      <c r="W5" s="5" t="s">
        <v>24</v>
      </c>
      <c r="X5" s="5" t="s">
        <v>25</v>
      </c>
      <c r="Y5" s="5" t="s">
        <v>26</v>
      </c>
      <c r="Z5" s="5"/>
      <c r="AA5" s="5" t="s">
        <v>27</v>
      </c>
      <c r="AB5" s="6" t="s">
        <v>28</v>
      </c>
      <c r="AC5" s="5"/>
      <c r="AD5" s="5" t="s">
        <v>29</v>
      </c>
      <c r="AE5" s="5" t="s">
        <v>30</v>
      </c>
      <c r="AF5" s="5" t="s">
        <v>31</v>
      </c>
      <c r="AG5" s="5" t="s">
        <v>32</v>
      </c>
      <c r="AH5" s="5" t="s">
        <v>33</v>
      </c>
      <c r="AI5" s="5" t="s">
        <v>34</v>
      </c>
      <c r="AJ5" s="5" t="s">
        <v>35</v>
      </c>
      <c r="AK5" s="5"/>
      <c r="AL5" s="5" t="s">
        <v>36</v>
      </c>
      <c r="AM5" s="5" t="s">
        <v>37</v>
      </c>
      <c r="AN5" s="5" t="s">
        <v>38</v>
      </c>
      <c r="AO5" s="5" t="s">
        <v>39</v>
      </c>
      <c r="AP5" s="5" t="s">
        <v>40</v>
      </c>
      <c r="AQ5" s="5" t="s">
        <v>41</v>
      </c>
      <c r="AR5" s="5" t="s">
        <v>42</v>
      </c>
      <c r="AS5" s="5" t="s">
        <v>43</v>
      </c>
      <c r="AT5" s="5" t="s">
        <v>44</v>
      </c>
      <c r="AU5" s="5" t="s">
        <v>45</v>
      </c>
      <c r="AV5" s="5" t="s">
        <v>46</v>
      </c>
      <c r="AW5" s="5" t="s">
        <v>47</v>
      </c>
      <c r="AX5" s="7"/>
      <c r="AY5" s="4" t="s">
        <v>4</v>
      </c>
      <c r="AZ5" s="4" t="s">
        <v>0</v>
      </c>
      <c r="BA5" s="4" t="s">
        <v>1</v>
      </c>
      <c r="BB5" s="4" t="s">
        <v>2</v>
      </c>
      <c r="BC5" s="4" t="s">
        <v>3</v>
      </c>
      <c r="BD5" s="7"/>
      <c r="BE5" s="5" t="s">
        <v>5</v>
      </c>
      <c r="BF5" s="7"/>
      <c r="BG5" s="7"/>
      <c r="BH5" s="7"/>
      <c r="BI5" s="2"/>
      <c r="BJ5" s="2"/>
    </row>
    <row r="6" customFormat="false" ht="12.8" hidden="false" customHeight="false" outlineLevel="0" collapsed="false">
      <c r="A6" s="1" t="s">
        <v>48</v>
      </c>
      <c r="D6" s="8" t="n">
        <v>43412</v>
      </c>
      <c r="E6" s="8" t="n">
        <v>43731</v>
      </c>
      <c r="F6" s="8" t="n">
        <v>43739</v>
      </c>
      <c r="G6" s="8" t="n">
        <v>43938</v>
      </c>
      <c r="H6" s="8" t="n">
        <v>43976</v>
      </c>
      <c r="I6" s="8" t="n">
        <v>44249</v>
      </c>
      <c r="J6" s="8" t="n">
        <v>44866</v>
      </c>
      <c r="K6" s="8" t="n">
        <v>45371</v>
      </c>
      <c r="L6" s="8" t="n">
        <v>45401</v>
      </c>
      <c r="M6" s="8" t="s">
        <v>49</v>
      </c>
      <c r="N6" s="9"/>
      <c r="O6" s="9" t="n">
        <v>43263</v>
      </c>
      <c r="P6" s="9" t="n">
        <v>43739</v>
      </c>
      <c r="Q6" s="9" t="n">
        <v>43829</v>
      </c>
      <c r="R6" s="9" t="n">
        <v>43927</v>
      </c>
      <c r="S6" s="9" t="n">
        <v>44109</v>
      </c>
      <c r="T6" s="9" t="n">
        <v>44286</v>
      </c>
      <c r="U6" s="9" t="n">
        <v>44542</v>
      </c>
      <c r="V6" s="9" t="n">
        <v>44831</v>
      </c>
      <c r="W6" s="9" t="n">
        <v>45251</v>
      </c>
      <c r="X6" s="9" t="n">
        <v>45622</v>
      </c>
      <c r="Y6" s="9" t="n">
        <v>45713</v>
      </c>
      <c r="Z6" s="9"/>
      <c r="AA6" s="9" t="n">
        <v>43404</v>
      </c>
      <c r="AB6" s="9" t="n">
        <v>43621</v>
      </c>
      <c r="AC6" s="9"/>
      <c r="AD6" s="9" t="n">
        <v>43430</v>
      </c>
      <c r="AE6" s="9" t="n">
        <v>43773</v>
      </c>
      <c r="AF6" s="9" t="n">
        <v>43773</v>
      </c>
      <c r="AG6" s="9" t="n">
        <v>44243</v>
      </c>
      <c r="AH6" s="9" t="n">
        <v>44287</v>
      </c>
      <c r="AI6" s="9" t="n">
        <v>44649</v>
      </c>
      <c r="AJ6" s="9" t="n">
        <v>45384</v>
      </c>
      <c r="AK6" s="9"/>
      <c r="AL6" s="9" t="n">
        <v>43409</v>
      </c>
      <c r="AM6" s="9" t="n">
        <v>43619</v>
      </c>
      <c r="AN6" s="9" t="n">
        <v>43949</v>
      </c>
      <c r="AO6" s="9" t="n">
        <v>44396</v>
      </c>
      <c r="AP6" s="9" t="n">
        <v>44530</v>
      </c>
      <c r="AQ6" s="9" t="n">
        <v>44536</v>
      </c>
      <c r="AR6" s="9" t="n">
        <v>44825</v>
      </c>
      <c r="AS6" s="9" t="n">
        <v>45019</v>
      </c>
      <c r="AT6" s="9" t="n">
        <v>45528</v>
      </c>
      <c r="AU6" s="9" t="n">
        <v>45416</v>
      </c>
      <c r="AV6" s="10" t="n">
        <v>45497</v>
      </c>
      <c r="AW6" s="10" t="n">
        <v>45950</v>
      </c>
      <c r="AX6" s="7"/>
      <c r="AY6" s="5"/>
      <c r="AZ6" s="5"/>
      <c r="BA6" s="5"/>
      <c r="BB6" s="5"/>
      <c r="BC6" s="5"/>
      <c r="BD6" s="7"/>
      <c r="BE6" s="5"/>
      <c r="BF6" s="7"/>
      <c r="BG6" s="7"/>
      <c r="BH6" s="7"/>
      <c r="BI6" s="2"/>
      <c r="BJ6" s="2"/>
    </row>
    <row r="7" customFormat="false" ht="12.8" hidden="false" customHeight="false" outlineLevel="0" collapsed="false">
      <c r="D7" s="10"/>
      <c r="E7" s="10"/>
      <c r="F7" s="10"/>
      <c r="G7" s="10"/>
      <c r="H7" s="10"/>
      <c r="I7" s="10"/>
      <c r="J7" s="10"/>
      <c r="K7" s="10"/>
      <c r="L7" s="8"/>
      <c r="M7" s="8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7"/>
      <c r="AY7" s="5"/>
      <c r="AZ7" s="5"/>
      <c r="BA7" s="5"/>
      <c r="BB7" s="5"/>
      <c r="BC7" s="5"/>
      <c r="BD7" s="7"/>
      <c r="BE7" s="5"/>
      <c r="BF7" s="7"/>
      <c r="BG7" s="7"/>
      <c r="BH7" s="7"/>
      <c r="BI7" s="2"/>
      <c r="BJ7" s="2"/>
    </row>
    <row r="8" customFormat="false" ht="12.75" hidden="false" customHeight="true" outlineLevel="0" collapsed="false">
      <c r="A8" s="11" t="s">
        <v>50</v>
      </c>
      <c r="B8" s="12"/>
      <c r="D8" s="10"/>
      <c r="E8" s="10"/>
      <c r="F8" s="10"/>
      <c r="G8" s="10"/>
      <c r="H8" s="10"/>
      <c r="I8" s="10"/>
      <c r="J8" s="10"/>
      <c r="K8" s="10"/>
      <c r="L8" s="8"/>
      <c r="M8" s="8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7"/>
      <c r="AY8" s="5"/>
      <c r="AZ8" s="5"/>
      <c r="BA8" s="5"/>
      <c r="BB8" s="5"/>
      <c r="BC8" s="5"/>
      <c r="BD8" s="7"/>
      <c r="BE8" s="5"/>
      <c r="BF8" s="7"/>
      <c r="BG8" s="7"/>
      <c r="BH8" s="7"/>
      <c r="BI8" s="2"/>
      <c r="BJ8" s="2"/>
    </row>
    <row r="9" customFormat="false" ht="12.75" hidden="false" customHeight="true" outlineLevel="0" collapsed="false">
      <c r="A9" s="12"/>
      <c r="B9" s="12"/>
      <c r="D9" s="10"/>
      <c r="E9" s="10"/>
      <c r="F9" s="10"/>
      <c r="G9" s="10"/>
      <c r="H9" s="10"/>
      <c r="I9" s="10"/>
      <c r="J9" s="10"/>
      <c r="K9" s="10"/>
      <c r="L9" s="8"/>
      <c r="M9" s="8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7"/>
      <c r="AY9" s="5"/>
      <c r="AZ9" s="5"/>
      <c r="BA9" s="5"/>
      <c r="BB9" s="5"/>
      <c r="BC9" s="5"/>
      <c r="BD9" s="7"/>
      <c r="BE9" s="5"/>
      <c r="BF9" s="7"/>
      <c r="BG9" s="7"/>
      <c r="BH9" s="7"/>
      <c r="BI9" s="2"/>
      <c r="BJ9" s="2"/>
    </row>
    <row r="10" customFormat="false" ht="12.75" hidden="false" customHeight="true" outlineLevel="0" collapsed="false">
      <c r="A10" s="1" t="s">
        <v>51</v>
      </c>
      <c r="B10" s="1" t="n">
        <v>2025</v>
      </c>
      <c r="C10" s="1" t="s">
        <v>52</v>
      </c>
      <c r="D10" s="13" t="n">
        <v>1421740.61</v>
      </c>
      <c r="E10" s="13" t="n">
        <v>420217.66</v>
      </c>
      <c r="F10" s="13" t="n">
        <v>1323306.4</v>
      </c>
      <c r="G10" s="13" t="n">
        <v>1122401.74</v>
      </c>
      <c r="H10" s="13" t="n">
        <v>1272410</v>
      </c>
      <c r="I10" s="13" t="n">
        <v>1398328.04</v>
      </c>
      <c r="J10" s="13" t="n">
        <v>1909911.47</v>
      </c>
      <c r="K10" s="13" t="n">
        <v>450669.36</v>
      </c>
      <c r="L10" s="13" t="n">
        <v>329107.23</v>
      </c>
      <c r="M10" s="13" t="n">
        <v>1126673.78</v>
      </c>
      <c r="N10" s="13"/>
      <c r="O10" s="13" t="n">
        <v>1754537.43</v>
      </c>
      <c r="P10" s="13" t="n">
        <v>679974.6</v>
      </c>
      <c r="Q10" s="13" t="n">
        <v>1539708.62</v>
      </c>
      <c r="R10" s="13" t="n">
        <v>0</v>
      </c>
      <c r="S10" s="13" t="n">
        <v>542046.66</v>
      </c>
      <c r="T10" s="13" t="n">
        <v>1112470.62</v>
      </c>
      <c r="U10" s="13" t="n">
        <v>1092215.72</v>
      </c>
      <c r="V10" s="13" t="n">
        <v>1096989.7</v>
      </c>
      <c r="W10" s="13" t="n">
        <v>1639060.05</v>
      </c>
      <c r="X10" s="13" t="n">
        <v>1733877.6</v>
      </c>
      <c r="Y10" s="13" t="n">
        <v>866938.8</v>
      </c>
      <c r="Z10" s="13"/>
      <c r="AA10" s="13" t="n">
        <v>247425</v>
      </c>
      <c r="AB10" s="13" t="n">
        <v>180878.7</v>
      </c>
      <c r="AC10" s="13"/>
      <c r="AD10" s="13" t="n">
        <v>853140.38</v>
      </c>
      <c r="AE10" s="13" t="n">
        <v>1050496</v>
      </c>
      <c r="AF10" s="13"/>
      <c r="AG10" s="13" t="n">
        <v>1264775.54</v>
      </c>
      <c r="AH10" s="13" t="n">
        <v>2506758.95</v>
      </c>
      <c r="AI10" s="13" t="n">
        <v>1283680.88</v>
      </c>
      <c r="AJ10" s="13" t="n">
        <v>1376505.81</v>
      </c>
      <c r="AK10" s="13"/>
      <c r="AL10" s="13" t="n">
        <v>1809583.02</v>
      </c>
      <c r="AM10" s="13" t="n">
        <v>878845.77</v>
      </c>
      <c r="AN10" s="13" t="n">
        <v>1832270.4</v>
      </c>
      <c r="AO10" s="13" t="n">
        <v>4013289.52</v>
      </c>
      <c r="AP10" s="13" t="n">
        <v>1778362.05</v>
      </c>
      <c r="AQ10" s="13" t="n">
        <v>1636128.98</v>
      </c>
      <c r="AR10" s="13" t="n">
        <v>1900155.62</v>
      </c>
      <c r="AS10" s="13" t="n">
        <v>0</v>
      </c>
      <c r="AT10" s="13" t="n">
        <v>613034.57</v>
      </c>
      <c r="AU10" s="13" t="n">
        <v>306945.67</v>
      </c>
      <c r="AV10" s="13" t="n">
        <v>3267692.4</v>
      </c>
      <c r="AW10" s="13" t="n">
        <v>1026075.51</v>
      </c>
      <c r="AX10" s="13"/>
      <c r="AY10" s="13" t="n">
        <f aca="false">SUMIF($D$4:$AW$4, AY$4,$D10:$AW10)</f>
        <v>19062383.51</v>
      </c>
      <c r="AZ10" s="13" t="n">
        <f aca="false">SUMIF($D$4:$AW$4, AZ$4,$D10:$AW10)</f>
        <v>10774766.29</v>
      </c>
      <c r="BA10" s="13" t="n">
        <f aca="false">SUMIF($D$4:$AW$4, BA$4,$D10:$AW10)</f>
        <v>12057819.8</v>
      </c>
      <c r="BB10" s="13" t="n">
        <f aca="false">SUMIF($D$4:$AW$4, BB$4,$D10:$AW10)</f>
        <v>428303.7</v>
      </c>
      <c r="BC10" s="13" t="n">
        <f aca="false">SUMIF($D$4:$AW$4, BC$4,$D10:$AW10)</f>
        <v>8335357.56</v>
      </c>
      <c r="BD10" s="13"/>
      <c r="BE10" s="13" t="n">
        <f aca="false">SUM(D10:AW10)</f>
        <v>50658630.86</v>
      </c>
    </row>
    <row r="11" customFormat="false" ht="12.75" hidden="false" customHeight="true" outlineLevel="0" collapsed="false">
      <c r="A11" s="1" t="s">
        <v>51</v>
      </c>
      <c r="B11" s="1" t="n">
        <v>2025</v>
      </c>
      <c r="C11" s="1" t="s">
        <v>53</v>
      </c>
      <c r="D11" s="14" t="n">
        <v>1123800.09</v>
      </c>
      <c r="E11" s="14" t="n">
        <v>407160</v>
      </c>
      <c r="F11" s="14" t="n">
        <v>1117203.63</v>
      </c>
      <c r="G11" s="14" t="n">
        <v>830961.14</v>
      </c>
      <c r="H11" s="14" t="n">
        <v>812706.8</v>
      </c>
      <c r="I11" s="14" t="n">
        <v>1889284.75</v>
      </c>
      <c r="J11" s="14" t="n">
        <v>1600446.39</v>
      </c>
      <c r="K11" s="14" t="n">
        <v>295526.19</v>
      </c>
      <c r="L11" s="14" t="n">
        <v>141768.09</v>
      </c>
      <c r="M11" s="14" t="n">
        <v>73136.72</v>
      </c>
      <c r="N11" s="14"/>
      <c r="O11" s="14" t="n">
        <v>1958930.71</v>
      </c>
      <c r="P11" s="14" t="n">
        <v>545422.29</v>
      </c>
      <c r="Q11" s="14" t="n">
        <v>2508000.96</v>
      </c>
      <c r="R11" s="14" t="n">
        <v>0</v>
      </c>
      <c r="S11" s="14" t="n">
        <v>669175.05</v>
      </c>
      <c r="T11" s="14" t="n">
        <v>699092.41</v>
      </c>
      <c r="U11" s="14" t="n">
        <v>379041.19</v>
      </c>
      <c r="V11" s="14" t="n">
        <v>1193303.34</v>
      </c>
      <c r="W11" s="14" t="n">
        <v>856887.29</v>
      </c>
      <c r="X11" s="14" t="n">
        <v>61833.35</v>
      </c>
      <c r="Y11" s="14" t="n">
        <v>10464.53</v>
      </c>
      <c r="Z11" s="14"/>
      <c r="AA11" s="14" t="n">
        <v>342036</v>
      </c>
      <c r="AB11" s="14" t="n">
        <v>300189</v>
      </c>
      <c r="AC11" s="14"/>
      <c r="AD11" s="14" t="n">
        <v>1987384</v>
      </c>
      <c r="AE11" s="14" t="n">
        <v>1452465</v>
      </c>
      <c r="AF11" s="14"/>
      <c r="AG11" s="14" t="n">
        <v>1457439</v>
      </c>
      <c r="AH11" s="14" t="n">
        <v>2238370</v>
      </c>
      <c r="AI11" s="14" t="n">
        <v>1250610</v>
      </c>
      <c r="AJ11" s="14" t="n">
        <v>1376149</v>
      </c>
      <c r="AK11" s="14"/>
      <c r="AL11" s="14" t="n">
        <v>1320273.59</v>
      </c>
      <c r="AM11" s="14" t="n">
        <v>70000</v>
      </c>
      <c r="AN11" s="14" t="n">
        <v>1959717.45</v>
      </c>
      <c r="AO11" s="14" t="n">
        <v>4875029.05</v>
      </c>
      <c r="AP11" s="14" t="n">
        <v>1203395.8</v>
      </c>
      <c r="AQ11" s="14" t="n">
        <v>871921.17</v>
      </c>
      <c r="AR11" s="14" t="n">
        <v>2115488.33</v>
      </c>
      <c r="AS11" s="14" t="n">
        <v>0</v>
      </c>
      <c r="AT11" s="14" t="n">
        <v>240351.86</v>
      </c>
      <c r="AU11" s="14" t="n">
        <v>81710.7</v>
      </c>
      <c r="AV11" s="14" t="n">
        <v>98400.78</v>
      </c>
      <c r="AW11" s="14"/>
      <c r="AX11" s="14"/>
      <c r="AY11" s="13" t="n">
        <f aca="false">SUMIF($D$4:$AW$4, AY$4,$D11:$AW11)</f>
        <v>12836288.73</v>
      </c>
      <c r="AZ11" s="13" t="n">
        <f aca="false">SUMIF($D$4:$AW$4, AZ$4,$D11:$AW11)</f>
        <v>8291993.8</v>
      </c>
      <c r="BA11" s="13" t="n">
        <f aca="false">SUMIF($D$4:$AW$4, BA$4,$D11:$AW11)</f>
        <v>8882151.12</v>
      </c>
      <c r="BB11" s="13" t="n">
        <f aca="false">SUMIF($D$4:$AW$4, BB$4,$D11:$AW11)</f>
        <v>642225</v>
      </c>
      <c r="BC11" s="13" t="n">
        <f aca="false">SUMIF($D$4:$AW$4, BC$4,$D11:$AW11)</f>
        <v>9762417</v>
      </c>
      <c r="BD11" s="14"/>
      <c r="BE11" s="13" t="n">
        <f aca="false">SUM(D11:AW11)</f>
        <v>40415075.65</v>
      </c>
    </row>
    <row r="12" customFormat="false" ht="12.75" hidden="false" customHeight="true" outlineLevel="0" collapsed="false">
      <c r="A12" s="1" t="s">
        <v>54</v>
      </c>
      <c r="B12" s="1" t="n">
        <v>2025</v>
      </c>
      <c r="C12" s="1" t="s">
        <v>52</v>
      </c>
      <c r="D12" s="14" t="n">
        <v>171733.99</v>
      </c>
      <c r="E12" s="14"/>
      <c r="F12" s="14"/>
      <c r="G12" s="14" t="n">
        <v>842756.75</v>
      </c>
      <c r="H12" s="14" t="n">
        <v>664595.74</v>
      </c>
      <c r="I12" s="14" t="n">
        <v>836875</v>
      </c>
      <c r="J12" s="14" t="n">
        <v>530400</v>
      </c>
      <c r="K12" s="14"/>
      <c r="L12" s="14" t="n">
        <v>161760</v>
      </c>
      <c r="M12" s="14" t="n">
        <v>521400</v>
      </c>
      <c r="N12" s="14"/>
      <c r="O12" s="14" t="n">
        <v>320000</v>
      </c>
      <c r="P12" s="14" t="n">
        <v>826900</v>
      </c>
      <c r="Q12" s="14" t="n">
        <v>403562.65</v>
      </c>
      <c r="R12" s="14" t="n">
        <v>267400</v>
      </c>
      <c r="S12" s="14" t="n">
        <v>480000</v>
      </c>
      <c r="T12" s="14" t="n">
        <v>369489.12</v>
      </c>
      <c r="U12" s="14" t="n">
        <v>528037.58</v>
      </c>
      <c r="V12" s="14" t="n">
        <v>461882.55</v>
      </c>
      <c r="W12" s="14" t="n">
        <v>1200420</v>
      </c>
      <c r="X12" s="14" t="n">
        <v>951433.6</v>
      </c>
      <c r="Y12" s="14" t="n">
        <v>475716.8</v>
      </c>
      <c r="Z12" s="14"/>
      <c r="AA12" s="14" t="n">
        <v>117804.9</v>
      </c>
      <c r="AB12" s="14" t="n">
        <v>158452</v>
      </c>
      <c r="AC12" s="14"/>
      <c r="AD12" s="14" t="n">
        <v>263163.45</v>
      </c>
      <c r="AE12" s="14" t="n">
        <v>223600</v>
      </c>
      <c r="AF12" s="14"/>
      <c r="AG12" s="14" t="n">
        <v>627600</v>
      </c>
      <c r="AH12" s="14" t="n">
        <v>795600</v>
      </c>
      <c r="AI12" s="14" t="n">
        <v>613530</v>
      </c>
      <c r="AJ12" s="14" t="n">
        <v>1107761.8</v>
      </c>
      <c r="AK12" s="14"/>
      <c r="AL12" s="14" t="n">
        <v>244993.97</v>
      </c>
      <c r="AM12" s="14" t="n">
        <v>320000</v>
      </c>
      <c r="AN12" s="14" t="n">
        <v>39698.63</v>
      </c>
      <c r="AO12" s="14" t="n">
        <v>186616.99</v>
      </c>
      <c r="AP12" s="14" t="n">
        <v>153969.86</v>
      </c>
      <c r="AQ12" s="14" t="n">
        <v>284789.59</v>
      </c>
      <c r="AR12" s="14" t="n">
        <v>621852.05</v>
      </c>
      <c r="AS12" s="14"/>
      <c r="AT12" s="14"/>
      <c r="AU12" s="14" t="n">
        <v>0</v>
      </c>
      <c r="AV12" s="14" t="n">
        <v>439565.76</v>
      </c>
      <c r="AW12" s="14" t="n">
        <v>678180.82</v>
      </c>
      <c r="AX12" s="14"/>
      <c r="AY12" s="13" t="n">
        <f aca="false">SUMIF($D$4:$AW$4, AY$4,$D12:$AW12)</f>
        <v>2969667.67</v>
      </c>
      <c r="AZ12" s="13" t="n">
        <f aca="false">SUMIF($D$4:$AW$4, AZ$4,$D12:$AW12)</f>
        <v>3729521.48</v>
      </c>
      <c r="BA12" s="13" t="n">
        <f aca="false">SUMIF($D$4:$AW$4, BA$4,$D12:$AW12)</f>
        <v>6284842.3</v>
      </c>
      <c r="BB12" s="13" t="n">
        <f aca="false">SUMIF($D$4:$AW$4, BB$4,$D12:$AW12)</f>
        <v>276256.9</v>
      </c>
      <c r="BC12" s="13" t="n">
        <f aca="false">SUMIF($D$4:$AW$4, BC$4,$D12:$AW12)</f>
        <v>3631255.25</v>
      </c>
      <c r="BD12" s="14"/>
      <c r="BE12" s="13" t="n">
        <f aca="false">SUM(D12:AW12)</f>
        <v>16891543.6</v>
      </c>
    </row>
    <row r="13" customFormat="false" ht="12.75" hidden="false" customHeight="true" outlineLevel="0" collapsed="false">
      <c r="A13" s="1" t="s">
        <v>54</v>
      </c>
      <c r="B13" s="1" t="n">
        <v>2025</v>
      </c>
      <c r="C13" s="1" t="s">
        <v>53</v>
      </c>
      <c r="D13" s="14" t="n">
        <v>629036.65</v>
      </c>
      <c r="E13" s="14"/>
      <c r="F13" s="14"/>
      <c r="G13" s="14" t="n">
        <v>902472.57</v>
      </c>
      <c r="H13" s="14" t="n">
        <v>838326.04</v>
      </c>
      <c r="I13" s="14" t="n">
        <v>855345.02</v>
      </c>
      <c r="J13" s="14" t="n">
        <v>627387.57</v>
      </c>
      <c r="K13" s="14"/>
      <c r="L13" s="14" t="n">
        <v>106918.51</v>
      </c>
      <c r="M13" s="14" t="n">
        <v>241501.52</v>
      </c>
      <c r="N13" s="14"/>
      <c r="O13" s="14" t="n">
        <v>48221.12</v>
      </c>
      <c r="P13" s="14" t="n">
        <v>384465.83</v>
      </c>
      <c r="Q13" s="14" t="n">
        <v>402557.74</v>
      </c>
      <c r="R13" s="14" t="n">
        <v>71012.61</v>
      </c>
      <c r="S13" s="14" t="n">
        <v>506921.92</v>
      </c>
      <c r="T13" s="14" t="n">
        <v>316993.66</v>
      </c>
      <c r="U13" s="14" t="n">
        <v>365870.5</v>
      </c>
      <c r="V13" s="14"/>
      <c r="W13" s="14" t="n">
        <v>890174.48</v>
      </c>
      <c r="X13" s="14" t="n">
        <v>139471.26</v>
      </c>
      <c r="Y13" s="14" t="n">
        <v>37450.79</v>
      </c>
      <c r="Z13" s="14"/>
      <c r="AA13" s="14" t="n">
        <v>248866</v>
      </c>
      <c r="AB13" s="14"/>
      <c r="AC13" s="14"/>
      <c r="AD13" s="14" t="n">
        <v>863497</v>
      </c>
      <c r="AE13" s="14" t="n">
        <v>1003275</v>
      </c>
      <c r="AF13" s="14"/>
      <c r="AG13" s="14" t="n">
        <v>793767</v>
      </c>
      <c r="AH13" s="14" t="n">
        <v>1042985</v>
      </c>
      <c r="AI13" s="14" t="n">
        <v>973786</v>
      </c>
      <c r="AJ13" s="14" t="n">
        <v>581010</v>
      </c>
      <c r="AK13" s="14"/>
      <c r="AL13" s="14" t="n">
        <v>178166</v>
      </c>
      <c r="AM13" s="14" t="n">
        <v>73984.34</v>
      </c>
      <c r="AN13" s="14"/>
      <c r="AO13" s="14"/>
      <c r="AP13" s="14" t="n">
        <v>157410.55</v>
      </c>
      <c r="AQ13" s="14" t="n">
        <v>81594.07</v>
      </c>
      <c r="AR13" s="14" t="n">
        <v>769432.41</v>
      </c>
      <c r="AS13" s="14"/>
      <c r="AT13" s="14"/>
      <c r="AU13" s="14" t="n">
        <v>97778.63</v>
      </c>
      <c r="AV13" s="14"/>
      <c r="AW13" s="14"/>
      <c r="AX13" s="14"/>
      <c r="AY13" s="13" t="n">
        <f aca="false">SUMIF($D$4:$AW$4, AY$4,$D13:$AW13)</f>
        <v>1358366</v>
      </c>
      <c r="AZ13" s="13" t="n">
        <f aca="false">SUMIF($D$4:$AW$4, AZ$4,$D13:$AW13)</f>
        <v>4200987.88</v>
      </c>
      <c r="BA13" s="13" t="n">
        <f aca="false">SUMIF($D$4:$AW$4, BA$4,$D13:$AW13)</f>
        <v>3163139.91</v>
      </c>
      <c r="BB13" s="13" t="n">
        <f aca="false">SUMIF($D$4:$AW$4, BB$4,$D13:$AW13)</f>
        <v>248866</v>
      </c>
      <c r="BC13" s="13" t="n">
        <f aca="false">SUMIF($D$4:$AW$4, BC$4,$D13:$AW13)</f>
        <v>5258320</v>
      </c>
      <c r="BD13" s="14"/>
      <c r="BE13" s="13" t="n">
        <f aca="false">SUM(D13:AW13)</f>
        <v>14229679.79</v>
      </c>
    </row>
    <row r="14" customFormat="false" ht="12.75" hidden="false" customHeight="true" outlineLevel="0" collapsed="false">
      <c r="A14" s="1" t="s">
        <v>55</v>
      </c>
      <c r="B14" s="1" t="n">
        <v>2025</v>
      </c>
      <c r="C14" s="1" t="s">
        <v>52</v>
      </c>
      <c r="D14" s="14" t="n">
        <v>1407497.01</v>
      </c>
      <c r="E14" s="14" t="n">
        <v>459567.57</v>
      </c>
      <c r="F14" s="14" t="n">
        <v>1144430</v>
      </c>
      <c r="G14" s="14" t="n">
        <v>691007.24</v>
      </c>
      <c r="H14" s="14" t="n">
        <v>691252.61</v>
      </c>
      <c r="I14" s="14" t="n">
        <v>941770.81</v>
      </c>
      <c r="J14" s="14" t="n">
        <v>1381171.17</v>
      </c>
      <c r="K14" s="14" t="n">
        <v>535840</v>
      </c>
      <c r="L14" s="14" t="n">
        <v>624150</v>
      </c>
      <c r="M14" s="14" t="n">
        <v>1385050</v>
      </c>
      <c r="N14" s="14"/>
      <c r="O14" s="14" t="n">
        <v>493126.09</v>
      </c>
      <c r="P14" s="14" t="n">
        <v>920122.97</v>
      </c>
      <c r="Q14" s="14" t="n">
        <v>1071227.29</v>
      </c>
      <c r="R14" s="14" t="n">
        <v>373278.26</v>
      </c>
      <c r="S14" s="14" t="n">
        <v>965799.85</v>
      </c>
      <c r="T14" s="14" t="n">
        <v>681271.5</v>
      </c>
      <c r="U14" s="14" t="n">
        <v>948152</v>
      </c>
      <c r="V14" s="14" t="n">
        <v>763462</v>
      </c>
      <c r="W14" s="14" t="n">
        <v>1717272</v>
      </c>
      <c r="X14" s="14" t="n">
        <v>1379000</v>
      </c>
      <c r="Y14" s="14" t="n">
        <v>1043600</v>
      </c>
      <c r="Z14" s="14"/>
      <c r="AA14" s="14" t="n">
        <v>155084.55</v>
      </c>
      <c r="AB14" s="14" t="n">
        <v>503778</v>
      </c>
      <c r="AC14" s="14"/>
      <c r="AD14" s="14" t="n">
        <v>1039329.09</v>
      </c>
      <c r="AE14" s="14" t="n">
        <v>778466</v>
      </c>
      <c r="AF14" s="14"/>
      <c r="AG14" s="14" t="n">
        <v>1508850</v>
      </c>
      <c r="AH14" s="14" t="n">
        <v>1861800</v>
      </c>
      <c r="AI14" s="14" t="n">
        <v>1534590</v>
      </c>
      <c r="AJ14" s="14" t="n">
        <v>2226311.68</v>
      </c>
      <c r="AK14" s="14"/>
      <c r="AL14" s="14" t="n">
        <v>902404.49</v>
      </c>
      <c r="AM14" s="14" t="n">
        <v>274479.19</v>
      </c>
      <c r="AN14" s="14" t="n">
        <v>1004460.71</v>
      </c>
      <c r="AO14" s="14" t="n">
        <v>1716180.99</v>
      </c>
      <c r="AP14" s="14" t="n">
        <v>956611.62</v>
      </c>
      <c r="AQ14" s="14" t="n">
        <v>1046069.59</v>
      </c>
      <c r="AR14" s="14" t="n">
        <v>1198186.85</v>
      </c>
      <c r="AS14" s="14" t="n">
        <v>655040</v>
      </c>
      <c r="AT14" s="14" t="n">
        <v>221440</v>
      </c>
      <c r="AU14" s="14" t="n">
        <v>233745.53</v>
      </c>
      <c r="AV14" s="14"/>
      <c r="AW14" s="14" t="n">
        <v>810260.38</v>
      </c>
      <c r="AX14" s="14"/>
      <c r="AY14" s="13" t="n">
        <f aca="false">SUMIF($D$4:$AW$4, AY$4,$D14:$AW14)</f>
        <v>9018879.35</v>
      </c>
      <c r="AZ14" s="13" t="n">
        <f aca="false">SUMIF($D$4:$AW$4, AZ$4,$D14:$AW14)</f>
        <v>9261736.41</v>
      </c>
      <c r="BA14" s="13" t="n">
        <f aca="false">SUMIF($D$4:$AW$4, BA$4,$D14:$AW14)</f>
        <v>10356311.96</v>
      </c>
      <c r="BB14" s="13" t="n">
        <f aca="false">SUMIF($D$4:$AW$4, BB$4,$D14:$AW14)</f>
        <v>658862.55</v>
      </c>
      <c r="BC14" s="13" t="n">
        <f aca="false">SUMIF($D$4:$AW$4, BC$4,$D14:$AW14)</f>
        <v>8949346.77</v>
      </c>
      <c r="BD14" s="14"/>
      <c r="BE14" s="13" t="n">
        <f aca="false">SUM(D14:AW14)</f>
        <v>38245137.04</v>
      </c>
    </row>
    <row r="15" customFormat="false" ht="12.75" hidden="false" customHeight="true" outlineLevel="0" collapsed="false">
      <c r="A15" s="1" t="s">
        <v>55</v>
      </c>
      <c r="B15" s="1" t="n">
        <v>2025</v>
      </c>
      <c r="C15" s="1" t="s">
        <v>53</v>
      </c>
      <c r="D15" s="14" t="n">
        <v>1665721.04</v>
      </c>
      <c r="E15" s="14" t="n">
        <v>875828.35</v>
      </c>
      <c r="F15" s="14" t="n">
        <v>1367764.11</v>
      </c>
      <c r="G15" s="14" t="n">
        <v>1136683</v>
      </c>
      <c r="H15" s="14" t="n">
        <v>1221795.63</v>
      </c>
      <c r="I15" s="14" t="n">
        <v>1328645.62</v>
      </c>
      <c r="J15" s="14" t="n">
        <v>1872409.45</v>
      </c>
      <c r="K15" s="14" t="n">
        <v>736632.87</v>
      </c>
      <c r="L15" s="14" t="n">
        <v>776292.09</v>
      </c>
      <c r="M15" s="14" t="n">
        <v>1569845.63</v>
      </c>
      <c r="N15" s="14"/>
      <c r="O15" s="14" t="n">
        <v>984926.41</v>
      </c>
      <c r="P15" s="14" t="n">
        <v>1657580.73</v>
      </c>
      <c r="Q15" s="14" t="n">
        <v>1934968.53</v>
      </c>
      <c r="R15" s="14" t="n">
        <v>720717.11</v>
      </c>
      <c r="S15" s="14" t="n">
        <v>1426569.06</v>
      </c>
      <c r="T15" s="14" t="n">
        <v>861891.04</v>
      </c>
      <c r="U15" s="14" t="n">
        <v>1532673.19</v>
      </c>
      <c r="V15" s="14" t="n">
        <v>1195804.54</v>
      </c>
      <c r="W15" s="14" t="n">
        <v>2033558.15</v>
      </c>
      <c r="X15" s="14" t="n">
        <v>727539.36</v>
      </c>
      <c r="Y15" s="14" t="n">
        <v>221710.43</v>
      </c>
      <c r="Z15" s="14"/>
      <c r="AA15" s="14" t="n">
        <v>175453</v>
      </c>
      <c r="AB15" s="14" t="n">
        <v>656167</v>
      </c>
      <c r="AC15" s="14"/>
      <c r="AD15" s="14" t="n">
        <v>2028877</v>
      </c>
      <c r="AE15" s="14" t="n">
        <v>1459240</v>
      </c>
      <c r="AF15" s="14"/>
      <c r="AG15" s="14" t="n">
        <v>1704628</v>
      </c>
      <c r="AH15" s="14" t="n">
        <v>2555314</v>
      </c>
      <c r="AI15" s="14" t="n">
        <v>1674434</v>
      </c>
      <c r="AJ15" s="14" t="n">
        <v>2185050</v>
      </c>
      <c r="AK15" s="14"/>
      <c r="AL15" s="14" t="n">
        <v>1061336</v>
      </c>
      <c r="AM15" s="14" t="n">
        <v>71434</v>
      </c>
      <c r="AN15" s="14" t="n">
        <v>1249601</v>
      </c>
      <c r="AO15" s="14" t="n">
        <v>2312172</v>
      </c>
      <c r="AP15" s="14" t="n">
        <v>1297969</v>
      </c>
      <c r="AQ15" s="14" t="n">
        <v>1326879</v>
      </c>
      <c r="AR15" s="14" t="n">
        <v>1638035</v>
      </c>
      <c r="AS15" s="14" t="n">
        <v>723892</v>
      </c>
      <c r="AT15" s="14" t="n">
        <v>163146</v>
      </c>
      <c r="AU15" s="14" t="n">
        <v>347689</v>
      </c>
      <c r="AV15" s="14"/>
      <c r="AW15" s="14"/>
      <c r="AX15" s="14"/>
      <c r="AY15" s="13" t="n">
        <f aca="false">SUMIF($D$4:$AW$4, AY$4,$D15:$AW15)</f>
        <v>10192153</v>
      </c>
      <c r="AZ15" s="13" t="n">
        <f aca="false">SUMIF($D$4:$AW$4, AZ$4,$D15:$AW15)</f>
        <v>12551617.79</v>
      </c>
      <c r="BA15" s="13" t="n">
        <f aca="false">SUMIF($D$4:$AW$4, BA$4,$D15:$AW15)</f>
        <v>13297938.55</v>
      </c>
      <c r="BB15" s="13" t="n">
        <f aca="false">SUMIF($D$4:$AW$4, BB$4,$D15:$AW15)</f>
        <v>831620</v>
      </c>
      <c r="BC15" s="13" t="n">
        <f aca="false">SUMIF($D$4:$AW$4, BC$4,$D15:$AW15)</f>
        <v>11607543</v>
      </c>
      <c r="BD15" s="14"/>
      <c r="BE15" s="13" t="n">
        <f aca="false">SUM(D15:AW15)</f>
        <v>48480872.34</v>
      </c>
    </row>
    <row r="16" customFormat="false" ht="12.75" hidden="false" customHeight="true" outlineLevel="0" collapsed="false">
      <c r="A16" s="1" t="s">
        <v>56</v>
      </c>
      <c r="B16" s="1" t="n">
        <v>2025</v>
      </c>
      <c r="C16" s="1" t="s">
        <v>52</v>
      </c>
      <c r="D16" s="14" t="n">
        <v>198000</v>
      </c>
      <c r="E16" s="14" t="n">
        <v>364894.35</v>
      </c>
      <c r="F16" s="14" t="n">
        <v>309058.26</v>
      </c>
      <c r="G16" s="14" t="n">
        <v>320698.43</v>
      </c>
      <c r="H16" s="14" t="n">
        <v>213698.26</v>
      </c>
      <c r="I16" s="14" t="n">
        <v>341333.33</v>
      </c>
      <c r="J16" s="14" t="n">
        <v>437824.53</v>
      </c>
      <c r="K16" s="14"/>
      <c r="L16" s="14"/>
      <c r="M16" s="14" t="n">
        <v>410560</v>
      </c>
      <c r="N16" s="14"/>
      <c r="O16" s="14" t="n">
        <v>529258.18</v>
      </c>
      <c r="P16" s="14" t="n">
        <v>552517.83</v>
      </c>
      <c r="Q16" s="14" t="n">
        <v>484731.09</v>
      </c>
      <c r="R16" s="14" t="n">
        <v>563781.74</v>
      </c>
      <c r="S16" s="14" t="n">
        <v>890565</v>
      </c>
      <c r="T16" s="14" t="n">
        <v>459429</v>
      </c>
      <c r="U16" s="14" t="n">
        <v>495820</v>
      </c>
      <c r="V16" s="14" t="n">
        <v>319060</v>
      </c>
      <c r="W16" s="14" t="n">
        <v>844970</v>
      </c>
      <c r="X16" s="14" t="n">
        <v>813000</v>
      </c>
      <c r="Y16" s="14" t="n">
        <v>521280</v>
      </c>
      <c r="Z16" s="14"/>
      <c r="AA16" s="14" t="n">
        <v>101136.05</v>
      </c>
      <c r="AB16" s="14" t="n">
        <v>266267.02</v>
      </c>
      <c r="AC16" s="14"/>
      <c r="AD16" s="14" t="n">
        <v>329787.27</v>
      </c>
      <c r="AE16" s="14" t="n">
        <v>204000</v>
      </c>
      <c r="AF16" s="14"/>
      <c r="AG16" s="14" t="n">
        <v>175490</v>
      </c>
      <c r="AH16" s="14" t="n">
        <v>339200</v>
      </c>
      <c r="AI16" s="14" t="n">
        <v>162610</v>
      </c>
      <c r="AJ16" s="14" t="n">
        <v>655951.94</v>
      </c>
      <c r="AK16" s="14"/>
      <c r="AL16" s="14" t="n">
        <v>323024.11</v>
      </c>
      <c r="AM16" s="14" t="n">
        <v>496047</v>
      </c>
      <c r="AN16" s="14" t="n">
        <v>394806.32</v>
      </c>
      <c r="AO16" s="14" t="n">
        <v>626157.77</v>
      </c>
      <c r="AP16" s="14" t="n">
        <v>315529.32</v>
      </c>
      <c r="AQ16" s="14" t="n">
        <v>420547.4</v>
      </c>
      <c r="AR16" s="14" t="n">
        <v>317418.58</v>
      </c>
      <c r="AS16" s="14" t="n">
        <v>292160</v>
      </c>
      <c r="AT16" s="14"/>
      <c r="AU16" s="14"/>
      <c r="AV16" s="14"/>
      <c r="AW16" s="14" t="n">
        <v>581152.44</v>
      </c>
      <c r="AX16" s="14"/>
      <c r="AY16" s="13" t="n">
        <f aca="false">SUMIF($D$4:$AW$4, AY$4,$D16:$AW16)</f>
        <v>3766842.94</v>
      </c>
      <c r="AZ16" s="13" t="n">
        <f aca="false">SUMIF($D$4:$AW$4, AZ$4,$D16:$AW16)</f>
        <v>2596067.16</v>
      </c>
      <c r="BA16" s="13" t="n">
        <f aca="false">SUMIF($D$4:$AW$4, BA$4,$D16:$AW16)</f>
        <v>6474412.84</v>
      </c>
      <c r="BB16" s="13" t="n">
        <f aca="false">SUMIF($D$4:$AW$4, BB$4,$D16:$AW16)</f>
        <v>367403.07</v>
      </c>
      <c r="BC16" s="13" t="n">
        <f aca="false">SUMIF($D$4:$AW$4, BC$4,$D16:$AW16)</f>
        <v>1867039.21</v>
      </c>
      <c r="BD16" s="14"/>
      <c r="BE16" s="13" t="n">
        <f aca="false">SUM(D16:AW16)</f>
        <v>15071765.22</v>
      </c>
    </row>
    <row r="17" customFormat="false" ht="12.75" hidden="false" customHeight="true" outlineLevel="0" collapsed="false">
      <c r="A17" s="1" t="s">
        <v>56</v>
      </c>
      <c r="B17" s="1" t="n">
        <v>2025</v>
      </c>
      <c r="C17" s="1" t="s">
        <v>53</v>
      </c>
      <c r="D17" s="14" t="n">
        <v>180866.18</v>
      </c>
      <c r="E17" s="14" t="n">
        <v>236330.35</v>
      </c>
      <c r="F17" s="14" t="n">
        <v>285217.11</v>
      </c>
      <c r="G17" s="14" t="n">
        <v>336502.48</v>
      </c>
      <c r="H17" s="14" t="n">
        <v>203596.59</v>
      </c>
      <c r="I17" s="14" t="n">
        <v>374875.31</v>
      </c>
      <c r="J17" s="14" t="n">
        <v>383110.44</v>
      </c>
      <c r="K17" s="14"/>
      <c r="L17" s="14"/>
      <c r="M17" s="14" t="n">
        <v>202791</v>
      </c>
      <c r="N17" s="14"/>
      <c r="O17" s="14" t="n">
        <v>518668.31</v>
      </c>
      <c r="P17" s="14" t="n">
        <v>643221.98</v>
      </c>
      <c r="Q17" s="14" t="n">
        <v>546344.17</v>
      </c>
      <c r="R17" s="14" t="n">
        <v>452252.16</v>
      </c>
      <c r="S17" s="14" t="n">
        <v>805376.43</v>
      </c>
      <c r="T17" s="14" t="n">
        <v>362558.23</v>
      </c>
      <c r="U17" s="14" t="n">
        <v>311162.52</v>
      </c>
      <c r="V17" s="14" t="n">
        <v>108180.53</v>
      </c>
      <c r="W17" s="14" t="n">
        <v>553080.19</v>
      </c>
      <c r="X17" s="14" t="n">
        <v>107988.77</v>
      </c>
      <c r="Y17" s="14" t="n">
        <v>39877.97</v>
      </c>
      <c r="Z17" s="14"/>
      <c r="AA17" s="14" t="n">
        <v>106687</v>
      </c>
      <c r="AB17" s="14" t="n">
        <v>331927</v>
      </c>
      <c r="AC17" s="14"/>
      <c r="AD17" s="14"/>
      <c r="AE17" s="14" t="n">
        <v>166324</v>
      </c>
      <c r="AF17" s="14"/>
      <c r="AG17" s="14" t="n">
        <v>195585</v>
      </c>
      <c r="AH17" s="14" t="n">
        <v>271999</v>
      </c>
      <c r="AI17" s="14" t="n">
        <v>133129</v>
      </c>
      <c r="AJ17" s="14" t="n">
        <v>266874</v>
      </c>
      <c r="AK17" s="14"/>
      <c r="AL17" s="14" t="n">
        <v>229885</v>
      </c>
      <c r="AM17" s="14" t="n">
        <v>350816</v>
      </c>
      <c r="AN17" s="14" t="n">
        <v>284191</v>
      </c>
      <c r="AO17" s="14" t="n">
        <v>542776</v>
      </c>
      <c r="AP17" s="14" t="n">
        <v>416360</v>
      </c>
      <c r="AQ17" s="14" t="n">
        <v>547200</v>
      </c>
      <c r="AR17" s="14" t="n">
        <v>336037</v>
      </c>
      <c r="AS17" s="14" t="n">
        <v>153596</v>
      </c>
      <c r="AT17" s="14"/>
      <c r="AU17" s="14"/>
      <c r="AV17" s="14"/>
      <c r="AW17" s="14"/>
      <c r="AX17" s="14"/>
      <c r="AY17" s="13" t="n">
        <f aca="false">SUMIF($D$4:$AW$4, AY$4,$D17:$AW17)</f>
        <v>2860861</v>
      </c>
      <c r="AZ17" s="13" t="n">
        <f aca="false">SUMIF($D$4:$AW$4, AZ$4,$D17:$AW17)</f>
        <v>2203289.46</v>
      </c>
      <c r="BA17" s="13" t="n">
        <f aca="false">SUMIF($D$4:$AW$4, BA$4,$D17:$AW17)</f>
        <v>4448711.26</v>
      </c>
      <c r="BB17" s="13" t="n">
        <f aca="false">SUMIF($D$4:$AW$4, BB$4,$D17:$AW17)</f>
        <v>438614</v>
      </c>
      <c r="BC17" s="13" t="n">
        <f aca="false">SUMIF($D$4:$AW$4, BC$4,$D17:$AW17)</f>
        <v>1033911</v>
      </c>
      <c r="BD17" s="14"/>
      <c r="BE17" s="13" t="n">
        <f aca="false">SUM(D17:AW17)</f>
        <v>10985386.72</v>
      </c>
    </row>
    <row r="18" customFormat="false" ht="12.75" hidden="false" customHeight="true" outlineLevel="0" collapsed="false">
      <c r="A18" s="1" t="s">
        <v>57</v>
      </c>
      <c r="B18" s="1" t="n">
        <v>2025</v>
      </c>
      <c r="C18" s="1" t="s">
        <v>52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T18" s="14"/>
      <c r="AU18" s="14"/>
      <c r="AV18" s="14"/>
      <c r="AW18" s="14"/>
      <c r="AX18" s="14"/>
      <c r="AY18" s="13" t="n">
        <f aca="false">SUMIF($D$4:$AW$4, AY$4,$D18:$AW18)</f>
        <v>0</v>
      </c>
      <c r="AZ18" s="13" t="n">
        <f aca="false">SUMIF($D$4:$AW$4, AZ$4,$D18:$AW18)</f>
        <v>0</v>
      </c>
      <c r="BA18" s="13" t="n">
        <f aca="false">SUMIF($D$4:$AW$4, BA$4,$D18:$AW18)</f>
        <v>0</v>
      </c>
      <c r="BB18" s="13" t="n">
        <f aca="false">SUMIF($D$4:$AW$4, BB$4,$D18:$AW18)</f>
        <v>0</v>
      </c>
      <c r="BC18" s="13" t="n">
        <f aca="false">SUMIF($D$4:$AW$4, BC$4,$D18:$AW18)</f>
        <v>0</v>
      </c>
      <c r="BD18" s="14"/>
      <c r="BE18" s="13" t="n">
        <f aca="false">SUM(D18:AW18)</f>
        <v>0</v>
      </c>
    </row>
    <row r="19" customFormat="false" ht="12.75" hidden="false" customHeight="true" outlineLevel="0" collapsed="false">
      <c r="A19" s="1" t="s">
        <v>57</v>
      </c>
      <c r="B19" s="1" t="n">
        <v>2025</v>
      </c>
      <c r="C19" s="1" t="s">
        <v>53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T19" s="14"/>
      <c r="AU19" s="14"/>
      <c r="AV19" s="14"/>
      <c r="AW19" s="14"/>
      <c r="AX19" s="14"/>
      <c r="AY19" s="13" t="n">
        <f aca="false">SUMIF($D$4:$AW$4, AY$4,$D19:$AW19)</f>
        <v>0</v>
      </c>
      <c r="AZ19" s="13" t="n">
        <f aca="false">SUMIF($D$4:$AW$4, AZ$4,$D19:$AW19)</f>
        <v>0</v>
      </c>
      <c r="BA19" s="13" t="n">
        <f aca="false">SUMIF($D$4:$AW$4, BA$4,$D19:$AW19)</f>
        <v>0</v>
      </c>
      <c r="BB19" s="13" t="n">
        <f aca="false">SUMIF($D$4:$AW$4, BB$4,$D19:$AW19)</f>
        <v>0</v>
      </c>
      <c r="BC19" s="13" t="n">
        <f aca="false">SUMIF($D$4:$AW$4, BC$4,$D19:$AW19)</f>
        <v>0</v>
      </c>
      <c r="BD19" s="14"/>
      <c r="BE19" s="13" t="n">
        <f aca="false">SUM(D19:AW19)</f>
        <v>0</v>
      </c>
    </row>
    <row r="20" customFormat="false" ht="12.75" hidden="false" customHeight="true" outlineLevel="0" collapsed="false">
      <c r="A20" s="1" t="s">
        <v>58</v>
      </c>
      <c r="B20" s="1" t="n">
        <v>2025</v>
      </c>
      <c r="C20" s="1" t="s">
        <v>52</v>
      </c>
      <c r="D20" s="14"/>
      <c r="E20" s="14"/>
      <c r="F20" s="14"/>
      <c r="G20" s="14"/>
      <c r="H20" s="14"/>
      <c r="I20" s="14"/>
      <c r="J20" s="14" t="n">
        <v>42137.4</v>
      </c>
      <c r="K20" s="14" t="n">
        <v>49644.4</v>
      </c>
      <c r="L20" s="14" t="n">
        <v>49644.4</v>
      </c>
      <c r="M20" s="14" t="n">
        <v>49644.4</v>
      </c>
      <c r="N20" s="14"/>
      <c r="O20" s="14"/>
      <c r="P20" s="14"/>
      <c r="Q20" s="14"/>
      <c r="R20" s="14"/>
      <c r="S20" s="14"/>
      <c r="T20" s="14"/>
      <c r="U20" s="14"/>
      <c r="V20" s="14"/>
      <c r="W20" s="14" t="n">
        <v>42586.1</v>
      </c>
      <c r="X20" s="14" t="n">
        <v>43119</v>
      </c>
      <c r="Y20" s="14" t="n">
        <v>43119</v>
      </c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 t="n">
        <v>49644.4</v>
      </c>
      <c r="AK20" s="14"/>
      <c r="AL20" s="14"/>
      <c r="AM20" s="14" t="n">
        <v>28143.2</v>
      </c>
      <c r="AN20" s="14"/>
      <c r="AO20" s="14"/>
      <c r="AP20" s="14"/>
      <c r="AQ20" s="14"/>
      <c r="AR20" s="14"/>
      <c r="AS20" s="14" t="n">
        <v>49644.4</v>
      </c>
      <c r="AT20" s="14" t="n">
        <v>49644.4</v>
      </c>
      <c r="AU20" s="14" t="n">
        <v>45700.05</v>
      </c>
      <c r="AV20" s="14" t="n">
        <v>49644.4</v>
      </c>
      <c r="AW20" s="14" t="n">
        <v>29378.6</v>
      </c>
      <c r="AX20" s="14"/>
      <c r="AY20" s="13" t="n">
        <f aca="false">SUMIF($D$4:$AW$4, AY$4,$D20:$AW20)</f>
        <v>252155.05</v>
      </c>
      <c r="AZ20" s="13" t="n">
        <f aca="false">SUMIF($D$4:$AW$4, AZ$4,$D20:$AW20)</f>
        <v>191070.6</v>
      </c>
      <c r="BA20" s="13" t="n">
        <f aca="false">SUMIF($D$4:$AW$4, BA$4,$D20:$AW20)</f>
        <v>128824.1</v>
      </c>
      <c r="BB20" s="13" t="n">
        <f aca="false">SUMIF($D$4:$AW$4, BB$4,$D20:$AW20)</f>
        <v>0</v>
      </c>
      <c r="BC20" s="13" t="n">
        <f aca="false">SUMIF($D$4:$AW$4, BC$4,$D20:$AW20)</f>
        <v>49644.4</v>
      </c>
      <c r="BD20" s="14"/>
      <c r="BE20" s="13" t="n">
        <f aca="false">SUM(D20:AW20)</f>
        <v>621694.15</v>
      </c>
    </row>
    <row r="21" customFormat="false" ht="12.75" hidden="false" customHeight="true" outlineLevel="0" collapsed="false">
      <c r="A21" s="1" t="s">
        <v>58</v>
      </c>
      <c r="B21" s="1" t="n">
        <v>2025</v>
      </c>
      <c r="C21" s="1" t="s">
        <v>53</v>
      </c>
      <c r="D21" s="14"/>
      <c r="E21" s="14"/>
      <c r="F21" s="14"/>
      <c r="G21" s="14"/>
      <c r="H21" s="14"/>
      <c r="I21" s="14"/>
      <c r="J21" s="14" t="n">
        <v>25809.06</v>
      </c>
      <c r="K21" s="14" t="n">
        <v>36641.25</v>
      </c>
      <c r="L21" s="14" t="n">
        <v>44234.61</v>
      </c>
      <c r="M21" s="14" t="n">
        <v>22122.12</v>
      </c>
      <c r="N21" s="14"/>
      <c r="O21" s="14"/>
      <c r="P21" s="14"/>
      <c r="Q21" s="14"/>
      <c r="R21" s="14"/>
      <c r="S21" s="14"/>
      <c r="T21" s="14"/>
      <c r="U21" s="14"/>
      <c r="V21" s="14"/>
      <c r="W21" s="14" t="n">
        <v>21743.67</v>
      </c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 t="n">
        <v>155522</v>
      </c>
      <c r="AK21" s="14"/>
      <c r="AL21" s="14"/>
      <c r="AM21" s="14" t="n">
        <v>30638</v>
      </c>
      <c r="AN21" s="14"/>
      <c r="AO21" s="14"/>
      <c r="AP21" s="14"/>
      <c r="AQ21" s="14"/>
      <c r="AR21" s="14"/>
      <c r="AS21" s="14" t="n">
        <v>69617.39</v>
      </c>
      <c r="AT21" s="14" t="n">
        <v>46022.29</v>
      </c>
      <c r="AU21" s="14" t="n">
        <v>46411.56</v>
      </c>
      <c r="AV21" s="14" t="n">
        <v>42585.84</v>
      </c>
      <c r="AW21" s="14"/>
      <c r="AX21" s="14"/>
      <c r="AY21" s="13" t="n">
        <f aca="false">SUMIF($D$4:$AW$4, AY$4,$D21:$AW21)</f>
        <v>235275.08</v>
      </c>
      <c r="AZ21" s="13" t="n">
        <f aca="false">SUMIF($D$4:$AW$4, AZ$4,$D21:$AW21)</f>
        <v>128807.04</v>
      </c>
      <c r="BA21" s="13" t="n">
        <f aca="false">SUMIF($D$4:$AW$4, BA$4,$D21:$AW21)</f>
        <v>21743.67</v>
      </c>
      <c r="BB21" s="13" t="n">
        <f aca="false">SUMIF($D$4:$AW$4, BB$4,$D21:$AW21)</f>
        <v>0</v>
      </c>
      <c r="BC21" s="13" t="n">
        <f aca="false">SUMIF($D$4:$AW$4, BC$4,$D21:$AW21)</f>
        <v>155522</v>
      </c>
      <c r="BD21" s="14"/>
      <c r="BE21" s="13" t="n">
        <f aca="false">SUM(D21:AW21)</f>
        <v>541347.79</v>
      </c>
    </row>
    <row r="22" customFormat="false" ht="12.75" hidden="false" customHeight="true" outlineLevel="0" collapsed="false">
      <c r="A22" s="1" t="s">
        <v>59</v>
      </c>
      <c r="B22" s="1" t="n">
        <v>2025</v>
      </c>
      <c r="C22" s="1" t="s">
        <v>52</v>
      </c>
      <c r="D22" s="14" t="n">
        <v>600000</v>
      </c>
      <c r="E22" s="14" t="n">
        <v>238115.72</v>
      </c>
      <c r="F22" s="14" t="n">
        <v>493699.54</v>
      </c>
      <c r="G22" s="14" t="n">
        <v>903924.34</v>
      </c>
      <c r="H22" s="14" t="n">
        <v>937346.89</v>
      </c>
      <c r="I22" s="14" t="n">
        <v>1147172.67</v>
      </c>
      <c r="J22" s="14" t="n">
        <v>1210157.35</v>
      </c>
      <c r="K22" s="14" t="n">
        <v>217022.66</v>
      </c>
      <c r="L22" s="14" t="n">
        <v>218747.16</v>
      </c>
      <c r="M22" s="14" t="n">
        <v>808038.16</v>
      </c>
      <c r="N22" s="14"/>
      <c r="O22" s="14" t="n">
        <v>1585508.55</v>
      </c>
      <c r="P22" s="14" t="n">
        <v>760831.32</v>
      </c>
      <c r="Q22" s="14" t="n">
        <v>1085115.66</v>
      </c>
      <c r="R22" s="14" t="n">
        <v>245559</v>
      </c>
      <c r="S22" s="14" t="n">
        <v>637191.56</v>
      </c>
      <c r="T22" s="14" t="n">
        <v>608355.08</v>
      </c>
      <c r="U22" s="14" t="n">
        <v>710749.5</v>
      </c>
      <c r="V22" s="14" t="n">
        <v>685344.28</v>
      </c>
      <c r="W22" s="14" t="n">
        <v>1197452.3</v>
      </c>
      <c r="X22" s="14" t="n">
        <v>1412028.09</v>
      </c>
      <c r="Y22" s="14" t="n">
        <v>721199.85</v>
      </c>
      <c r="Z22" s="14"/>
      <c r="AA22" s="14" t="n">
        <v>349066.86</v>
      </c>
      <c r="AB22" s="14" t="n">
        <v>537772.1</v>
      </c>
      <c r="AC22" s="14"/>
      <c r="AD22" s="14" t="n">
        <v>960249.8</v>
      </c>
      <c r="AE22" s="14" t="n">
        <v>1121150</v>
      </c>
      <c r="AF22" s="14"/>
      <c r="AG22" s="14" t="n">
        <v>1015951</v>
      </c>
      <c r="AH22" s="14" t="n">
        <v>1748748.05</v>
      </c>
      <c r="AI22" s="14" t="n">
        <v>991530</v>
      </c>
      <c r="AJ22" s="14" t="n">
        <v>1834994.33</v>
      </c>
      <c r="AK22" s="14"/>
      <c r="AL22" s="14" t="n">
        <v>356656.72</v>
      </c>
      <c r="AM22" s="14" t="n">
        <v>758319.12</v>
      </c>
      <c r="AN22" s="14" t="n">
        <v>756398.82</v>
      </c>
      <c r="AO22" s="14" t="n">
        <v>1518160.95</v>
      </c>
      <c r="AP22" s="14" t="n">
        <v>791918.4</v>
      </c>
      <c r="AQ22" s="14" t="n">
        <v>805054.19</v>
      </c>
      <c r="AR22" s="14" t="n">
        <v>1036177.8</v>
      </c>
      <c r="AS22" s="14" t="n">
        <v>149526.66</v>
      </c>
      <c r="AT22" s="14" t="n">
        <v>195734.03</v>
      </c>
      <c r="AU22" s="14" t="n">
        <v>110957.93</v>
      </c>
      <c r="AV22" s="14" t="n">
        <v>1388553.66</v>
      </c>
      <c r="AW22" s="14" t="n">
        <v>972738.14</v>
      </c>
      <c r="AX22" s="14"/>
      <c r="AY22" s="13" t="n">
        <f aca="false">SUMIF($D$4:$AW$4, AY$4,$D22:$AW22)</f>
        <v>8840196.42</v>
      </c>
      <c r="AZ22" s="13" t="n">
        <f aca="false">SUMIF($D$4:$AW$4, AZ$4,$D22:$AW22)</f>
        <v>6774224.49</v>
      </c>
      <c r="BA22" s="13" t="n">
        <f aca="false">SUMIF($D$4:$AW$4, BA$4,$D22:$AW22)</f>
        <v>9649335.19</v>
      </c>
      <c r="BB22" s="13" t="n">
        <f aca="false">SUMIF($D$4:$AW$4, BB$4,$D22:$AW22)</f>
        <v>886838.96</v>
      </c>
      <c r="BC22" s="13" t="n">
        <f aca="false">SUMIF($D$4:$AW$4, BC$4,$D22:$AW22)</f>
        <v>7672623.18</v>
      </c>
      <c r="BD22" s="14"/>
      <c r="BE22" s="13" t="n">
        <f aca="false">SUM(D22:AW22)</f>
        <v>33823218.24</v>
      </c>
    </row>
    <row r="23" customFormat="false" ht="12.75" hidden="false" customHeight="true" outlineLevel="0" collapsed="false">
      <c r="A23" s="1" t="s">
        <v>59</v>
      </c>
      <c r="B23" s="1" t="n">
        <v>2025</v>
      </c>
      <c r="C23" s="1" t="s">
        <v>53</v>
      </c>
      <c r="D23" s="14"/>
      <c r="E23" s="14" t="n">
        <v>994714.66</v>
      </c>
      <c r="F23" s="14" t="n">
        <v>1000764.04</v>
      </c>
      <c r="G23" s="14" t="n">
        <v>1447389.5</v>
      </c>
      <c r="H23" s="14" t="n">
        <v>1241210</v>
      </c>
      <c r="I23" s="14" t="n">
        <v>2166284.8</v>
      </c>
      <c r="J23" s="14" t="n">
        <v>2086262.11</v>
      </c>
      <c r="K23" s="14" t="n">
        <v>566040.24</v>
      </c>
      <c r="L23" s="14" t="n">
        <v>610515.07</v>
      </c>
      <c r="M23" s="14" t="n">
        <v>1784839.21</v>
      </c>
      <c r="N23" s="14"/>
      <c r="O23" s="14" t="n">
        <v>1656716.9</v>
      </c>
      <c r="P23" s="14" t="n">
        <v>1164746.4</v>
      </c>
      <c r="Q23" s="14" t="n">
        <v>1734729.12</v>
      </c>
      <c r="R23" s="14" t="n">
        <v>560964.4</v>
      </c>
      <c r="S23" s="14" t="n">
        <v>1241782.2</v>
      </c>
      <c r="T23" s="14" t="n">
        <v>1279475.24</v>
      </c>
      <c r="U23" s="14" t="n">
        <v>1152205.03</v>
      </c>
      <c r="V23" s="14" t="n">
        <v>835475.81</v>
      </c>
      <c r="W23" s="14" t="n">
        <v>1513920.3</v>
      </c>
      <c r="X23" s="14" t="n">
        <v>634752.33</v>
      </c>
      <c r="Y23" s="14" t="n">
        <v>326919.05</v>
      </c>
      <c r="Z23" s="14"/>
      <c r="AA23" s="14" t="n">
        <v>289179</v>
      </c>
      <c r="AB23" s="14" t="n">
        <v>674673</v>
      </c>
      <c r="AC23" s="14"/>
      <c r="AD23" s="14" t="n">
        <v>3133578</v>
      </c>
      <c r="AE23" s="14" t="n">
        <v>2082675</v>
      </c>
      <c r="AF23" s="14"/>
      <c r="AG23" s="14" t="n">
        <v>1568131</v>
      </c>
      <c r="AH23" s="14" t="n">
        <v>2173456</v>
      </c>
      <c r="AI23" s="14" t="n">
        <v>1491519</v>
      </c>
      <c r="AJ23" s="14" t="n">
        <v>1797597</v>
      </c>
      <c r="AK23" s="14"/>
      <c r="AL23" s="14" t="n">
        <v>1846759.99</v>
      </c>
      <c r="AM23" s="14" t="n">
        <v>1389585.08</v>
      </c>
      <c r="AN23" s="14" t="n">
        <v>1472943.45</v>
      </c>
      <c r="AO23" s="14" t="n">
        <v>2566804.37</v>
      </c>
      <c r="AP23" s="14" t="n">
        <v>1469018.35</v>
      </c>
      <c r="AQ23" s="14" t="n">
        <v>1574454.08</v>
      </c>
      <c r="AR23" s="14" t="n">
        <v>1250993.1</v>
      </c>
      <c r="AS23" s="14" t="n">
        <v>1651719.89</v>
      </c>
      <c r="AT23" s="14" t="n">
        <v>277535.4</v>
      </c>
      <c r="AU23" s="14" t="n">
        <v>397105.3</v>
      </c>
      <c r="AV23" s="14" t="n">
        <v>1166704.18</v>
      </c>
      <c r="AW23" s="14" t="n">
        <v>213625.76</v>
      </c>
      <c r="AX23" s="14"/>
      <c r="AY23" s="13" t="n">
        <f aca="false">SUMIF($D$4:$AW$4, AY$4,$D23:$AW23)</f>
        <v>15277248.95</v>
      </c>
      <c r="AZ23" s="13" t="n">
        <f aca="false">SUMIF($D$4:$AW$4, AZ$4,$D23:$AW23)</f>
        <v>11898019.63</v>
      </c>
      <c r="BA23" s="13" t="n">
        <f aca="false">SUMIF($D$4:$AW$4, BA$4,$D23:$AW23)</f>
        <v>12101686.78</v>
      </c>
      <c r="BB23" s="13" t="n">
        <f aca="false">SUMIF($D$4:$AW$4, BB$4,$D23:$AW23)</f>
        <v>963852</v>
      </c>
      <c r="BC23" s="13" t="n">
        <f aca="false">SUMIF($D$4:$AW$4, BC$4,$D23:$AW23)</f>
        <v>12246956</v>
      </c>
      <c r="BD23" s="14"/>
      <c r="BE23" s="13" t="n">
        <f aca="false">SUM(D23:AW23)</f>
        <v>52487763.36</v>
      </c>
    </row>
    <row r="24" customFormat="false" ht="12.75" hidden="false" customHeight="true" outlineLevel="0" collapsed="false">
      <c r="A24" s="1" t="s">
        <v>60</v>
      </c>
      <c r="B24" s="1" t="n">
        <v>2025</v>
      </c>
      <c r="C24" s="1" t="s">
        <v>61</v>
      </c>
      <c r="D24" s="14" t="n">
        <f aca="false">VLOOKUP(D$5,VISITS,2,0)</f>
        <v>32454</v>
      </c>
      <c r="E24" s="14" t="n">
        <f aca="false">VLOOKUP(E$5,VISITS,2,0)</f>
        <v>10753</v>
      </c>
      <c r="F24" s="14" t="n">
        <f aca="false">VLOOKUP(F$5,VISITS,2,0)</f>
        <v>22778</v>
      </c>
      <c r="G24" s="14" t="n">
        <f aca="false">VLOOKUP(G$5,VISITS,2,0)</f>
        <v>35486</v>
      </c>
      <c r="H24" s="14" t="n">
        <f aca="false">VLOOKUP(H$5,VISITS,2,0)</f>
        <v>22802</v>
      </c>
      <c r="I24" s="14" t="n">
        <f aca="false">VLOOKUP(I$5,VISITS,2,0)</f>
        <v>52356</v>
      </c>
      <c r="J24" s="14" t="n">
        <f aca="false">VLOOKUP(J$5,VISITS,2,0)</f>
        <v>50878</v>
      </c>
      <c r="K24" s="14" t="n">
        <f aca="false">VLOOKUP(K$5,VISITS,2,0)</f>
        <v>11619</v>
      </c>
      <c r="L24" s="14" t="n">
        <f aca="false">VLOOKUP(L$5,VISITS,2,0)</f>
        <v>7629</v>
      </c>
      <c r="M24" s="14" t="n">
        <f aca="false">VLOOKUP(M$5,VISITS,2,0)</f>
        <v>13239</v>
      </c>
      <c r="N24" s="14"/>
      <c r="O24" s="14" t="n">
        <f aca="false">VLOOKUP(O$5,VISITS,2,0)</f>
        <v>41555</v>
      </c>
      <c r="P24" s="14" t="n">
        <f aca="false">VLOOKUP(P$5,VISITS,2,0)</f>
        <v>19970</v>
      </c>
      <c r="Q24" s="14" t="n">
        <f aca="false">VLOOKUP(Q$5,VISITS,2,0)</f>
        <v>50784</v>
      </c>
      <c r="R24" s="14" t="n">
        <f aca="false">VLOOKUP(R$5,VISITS,2,0)</f>
        <v>6755</v>
      </c>
      <c r="S24" s="14" t="n">
        <f aca="false">VLOOKUP(S$5,VISITS,2,0)</f>
        <v>29045</v>
      </c>
      <c r="T24" s="14" t="n">
        <f aca="false">VLOOKUP(T$5,VISITS,2,0)</f>
        <v>16379</v>
      </c>
      <c r="U24" s="14" t="n">
        <f aca="false">VLOOKUP(U$5,VISITS,2,0)</f>
        <v>18003</v>
      </c>
      <c r="V24" s="14" t="n">
        <f aca="false">VLOOKUP(V$5,VISITS,2,0)</f>
        <v>10776</v>
      </c>
      <c r="W24" s="14" t="n">
        <f aca="false">VLOOKUP(W$5,VISITS,2,0)</f>
        <v>25153</v>
      </c>
      <c r="X24" s="14" t="n">
        <f aca="false">VLOOKUP(X$5,VISITS,2,0)</f>
        <v>6235</v>
      </c>
      <c r="Y24" s="14"/>
      <c r="Z24" s="14"/>
      <c r="AA24" s="14" t="n">
        <f aca="false">VLOOKUP(AA$5,VISITS,2,0)</f>
        <v>6099</v>
      </c>
      <c r="AB24" s="14" t="n">
        <f aca="false">VLOOKUP(AB$5,VISITS,2,0)</f>
        <v>26805</v>
      </c>
      <c r="AC24" s="14"/>
      <c r="AD24" s="14" t="n">
        <f aca="false">VLOOKUP(AD$5,VISITS,2,0)</f>
        <v>25973</v>
      </c>
      <c r="AE24" s="14" t="n">
        <f aca="false">VLOOKUP(AE$5,VISITS,2,0)</f>
        <v>24438</v>
      </c>
      <c r="AF24" s="14" t="n">
        <f aca="false">VLOOKUP(AF$5,VISITS,2,0)</f>
        <v>22067</v>
      </c>
      <c r="AG24" s="14" t="n">
        <f aca="false">VLOOKUP(AG$5,VISITS,2,0)</f>
        <v>24310</v>
      </c>
      <c r="AH24" s="14" t="n">
        <f aca="false">VLOOKUP(AH$5,VISITS,2,0)</f>
        <v>35397</v>
      </c>
      <c r="AI24" s="14" t="n">
        <f aca="false">VLOOKUP(AI$5,VISITS,2,0)</f>
        <v>24270</v>
      </c>
      <c r="AJ24" s="14" t="n">
        <f aca="false">VLOOKUP(AJ$5,VISITS,2,0)</f>
        <v>18443</v>
      </c>
      <c r="AK24" s="14"/>
      <c r="AL24" s="14" t="n">
        <f aca="false">VLOOKUP(AL$5,VISITS,2,0)</f>
        <v>18203</v>
      </c>
      <c r="AM24" s="14" t="n">
        <f aca="false">VLOOKUP(AM$5,VISITS,2,0)</f>
        <v>18859</v>
      </c>
      <c r="AN24" s="14" t="n">
        <f aca="false">VLOOKUP(AN$5,VISITS,2,0)</f>
        <v>22258</v>
      </c>
      <c r="AO24" s="14" t="n">
        <f aca="false">VLOOKUP(AO$5,VISITS,2,0)</f>
        <v>58733</v>
      </c>
      <c r="AP24" s="14" t="n">
        <f aca="false">VLOOKUP(AP$5,VISITS,2,0)</f>
        <v>17210</v>
      </c>
      <c r="AQ24" s="14" t="n">
        <f aca="false">VLOOKUP(AQ$5,VISITS,2,0)</f>
        <v>18227</v>
      </c>
      <c r="AR24" s="14" t="n">
        <f aca="false">VLOOKUP(AR$5,VISITS,2,0)</f>
        <v>30280</v>
      </c>
      <c r="AS24" s="14" t="n">
        <f aca="false">VLOOKUP(AS$5,VISITS,2,0)</f>
        <v>14350</v>
      </c>
      <c r="AT24" s="14" t="n">
        <f aca="false">VLOOKUP(AT$5,VISITS,2,0)</f>
        <v>3649</v>
      </c>
      <c r="AU24" s="14" t="n">
        <f aca="false">VLOOKUP(AU$5,VISITS,2,0)</f>
        <v>3680</v>
      </c>
      <c r="AV24" s="14" t="n">
        <f aca="false">VLOOKUP(AV$5,VISITS,2,0)</f>
        <v>429</v>
      </c>
      <c r="AW24" s="14"/>
      <c r="AX24" s="14"/>
      <c r="AY24" s="13" t="n">
        <f aca="false">SUMIF($D$4:$AW$4, AY$4,$D24:$AW24)</f>
        <v>205878</v>
      </c>
      <c r="AZ24" s="13" t="n">
        <f aca="false">SUMIF($D$4:$AW$4, AZ$4,$D24:$AW24)</f>
        <v>259994</v>
      </c>
      <c r="BA24" s="13" t="n">
        <f aca="false">SUMIF($D$4:$AW$4, BA$4,$D24:$AW24)</f>
        <v>224655</v>
      </c>
      <c r="BB24" s="13" t="n">
        <f aca="false">SUMIF($D$4:$AW$4, BB$4,$D24:$AW24)</f>
        <v>32904</v>
      </c>
      <c r="BC24" s="13" t="n">
        <f aca="false">SUMIF($D$4:$AW$4, BC$4,$D24:$AW24)</f>
        <v>174898</v>
      </c>
      <c r="BD24" s="14"/>
      <c r="BE24" s="13" t="n">
        <f aca="false">SUM(D24:AW24)</f>
        <v>898329</v>
      </c>
    </row>
    <row r="25" customFormat="false" ht="12.75" hidden="false" customHeight="true" outlineLevel="0" collapsed="false">
      <c r="A25" s="1" t="s">
        <v>62</v>
      </c>
      <c r="B25" s="1" t="n">
        <v>2025</v>
      </c>
      <c r="C25" s="1" t="s">
        <v>61</v>
      </c>
      <c r="D25" s="14" t="n">
        <f aca="false">VLOOKUP(D$5,VISITS,9,0)</f>
        <v>9197</v>
      </c>
      <c r="E25" s="14" t="n">
        <f aca="false">VLOOKUP(E$5,VISITS,9,0)</f>
        <v>0</v>
      </c>
      <c r="F25" s="14" t="n">
        <f aca="false">VLOOKUP(F$5,VISITS,9,0)</f>
        <v>0</v>
      </c>
      <c r="G25" s="14" t="n">
        <f aca="false">VLOOKUP(G$5,VISITS,9,0)</f>
        <v>5899</v>
      </c>
      <c r="H25" s="14" t="n">
        <f aca="false">VLOOKUP(H$5,VISITS,9,0)</f>
        <v>7952</v>
      </c>
      <c r="I25" s="14" t="n">
        <f aca="false">VLOOKUP(I$5,VISITS,9,0)</f>
        <v>6746</v>
      </c>
      <c r="J25" s="14" t="n">
        <f aca="false">VLOOKUP(J$5,VISITS,9,0)</f>
        <v>4630</v>
      </c>
      <c r="K25" s="14" t="n">
        <f aca="false">VLOOKUP(K$5,VISITS,9,0)</f>
        <v>0</v>
      </c>
      <c r="L25" s="14" t="n">
        <f aca="false">VLOOKUP(L$5,VISITS,9,0)</f>
        <v>0</v>
      </c>
      <c r="M25" s="14" t="n">
        <f aca="false">VLOOKUP(M$5,VISITS,9,0)</f>
        <v>1212</v>
      </c>
      <c r="N25" s="14"/>
      <c r="O25" s="14" t="n">
        <f aca="false">VLOOKUP(O$5,VISITS,9,0)</f>
        <v>6561</v>
      </c>
      <c r="P25" s="14" t="n">
        <f aca="false">VLOOKUP(P$5,VISITS,9,0)</f>
        <v>8339</v>
      </c>
      <c r="Q25" s="14" t="n">
        <f aca="false">VLOOKUP(Q$5,VISITS,9,0)</f>
        <v>3039</v>
      </c>
      <c r="R25" s="14" t="n">
        <f aca="false">VLOOKUP(R$5,VISITS,9,0)</f>
        <v>0</v>
      </c>
      <c r="S25" s="14" t="n">
        <f aca="false">VLOOKUP(S$5,VISITS,9,0)</f>
        <v>8545</v>
      </c>
      <c r="T25" s="14" t="n">
        <f aca="false">VLOOKUP(T$5,VISITS,9,0)</f>
        <v>9085</v>
      </c>
      <c r="U25" s="14" t="n">
        <f aca="false">VLOOKUP(U$5,VISITS,9,0)</f>
        <v>0</v>
      </c>
      <c r="V25" s="14" t="n">
        <f aca="false">VLOOKUP(V$5,VISITS,9,0)</f>
        <v>0</v>
      </c>
      <c r="W25" s="14" t="n">
        <f aca="false">VLOOKUP(W$5,VISITS,9,0)</f>
        <v>7056</v>
      </c>
      <c r="X25" s="14" t="n">
        <f aca="false">VLOOKUP(X$5,VISITS,9,0)</f>
        <v>0</v>
      </c>
      <c r="Y25" s="14"/>
      <c r="Z25" s="14"/>
      <c r="AA25" s="14" t="n">
        <f aca="false">VLOOKUP(AA$5,VISITS,9,0)</f>
        <v>0</v>
      </c>
      <c r="AB25" s="14" t="n">
        <f aca="false">VLOOKUP(AB$5,VISITS,9,0)</f>
        <v>0</v>
      </c>
      <c r="AC25" s="14"/>
      <c r="AD25" s="14" t="n">
        <f aca="false">VLOOKUP(AD$5,VISITS,9,0)</f>
        <v>0</v>
      </c>
      <c r="AE25" s="14" t="n">
        <f aca="false">VLOOKUP(AE$5,VISITS,9,0)</f>
        <v>0</v>
      </c>
      <c r="AF25" s="14" t="n">
        <f aca="false">VLOOKUP(AF$5,VISITS,9,0)</f>
        <v>0</v>
      </c>
      <c r="AG25" s="14" t="n">
        <f aca="false">VLOOKUP(AG$5,VISITS,9,0)</f>
        <v>0</v>
      </c>
      <c r="AH25" s="14" t="n">
        <f aca="false">VLOOKUP(AH$5,VISITS,9,0)</f>
        <v>0</v>
      </c>
      <c r="AI25" s="14" t="n">
        <f aca="false">VLOOKUP(AI$5,VISITS,9,0)</f>
        <v>0</v>
      </c>
      <c r="AJ25" s="14" t="n">
        <f aca="false">VLOOKUP(AJ$5,VISITS,9,0)</f>
        <v>1190</v>
      </c>
      <c r="AK25" s="14"/>
      <c r="AL25" s="14" t="n">
        <f aca="false">VLOOKUP(AL$5,VISITS,9,0)</f>
        <v>1441</v>
      </c>
      <c r="AM25" s="14" t="n">
        <f aca="false">VLOOKUP(AM$5,VISITS,9,0)</f>
        <v>0</v>
      </c>
      <c r="AN25" s="14" t="n">
        <f aca="false">VLOOKUP(AN$5,VISITS,9,0)</f>
        <v>14889</v>
      </c>
      <c r="AO25" s="14" t="n">
        <f aca="false">VLOOKUP(AO$5,VISITS,9,0)</f>
        <v>21779</v>
      </c>
      <c r="AP25" s="14" t="n">
        <f aca="false">VLOOKUP(AP$5,VISITS,9,0)</f>
        <v>2742</v>
      </c>
      <c r="AQ25" s="14" t="n">
        <f aca="false">VLOOKUP(AQ$5,VISITS,9,0)</f>
        <v>2931</v>
      </c>
      <c r="AR25" s="14" t="n">
        <f aca="false">VLOOKUP(AR$5,VISITS,9,0)</f>
        <v>9801</v>
      </c>
      <c r="AS25" s="14" t="n">
        <f aca="false">VLOOKUP(AS$5,VISITS,9,0)</f>
        <v>0</v>
      </c>
      <c r="AT25" s="14" t="n">
        <f aca="false">VLOOKUP(AT$5,VISITS,9,0)</f>
        <v>0</v>
      </c>
      <c r="AU25" s="14" t="n">
        <f aca="false">VLOOKUP(AU$5,VISITS,9,0)</f>
        <v>0</v>
      </c>
      <c r="AV25" s="14" t="n">
        <f aca="false">VLOOKUP(AV$5,VISITS,9,0)</f>
        <v>0</v>
      </c>
      <c r="AW25" s="14"/>
      <c r="AX25" s="14"/>
      <c r="AY25" s="13" t="n">
        <f aca="false">SUMIF($D$4:$AW$4, AY$4,$D25:$AW25)</f>
        <v>53583</v>
      </c>
      <c r="AZ25" s="13" t="n">
        <f aca="false">SUMIF($D$4:$AW$4, AZ$4,$D25:$AW25)</f>
        <v>35636</v>
      </c>
      <c r="BA25" s="13" t="n">
        <f aca="false">SUMIF($D$4:$AW$4, BA$4,$D25:$AW25)</f>
        <v>42625</v>
      </c>
      <c r="BB25" s="13" t="n">
        <f aca="false">SUMIF($D$4:$AW$4, BB$4,$D25:$AW25)</f>
        <v>0</v>
      </c>
      <c r="BC25" s="13" t="n">
        <f aca="false">SUMIF($D$4:$AW$4, BC$4,$D25:$AW25)</f>
        <v>1190</v>
      </c>
      <c r="BD25" s="14"/>
      <c r="BE25" s="13" t="n">
        <f aca="false">SUM(D25:AW25)</f>
        <v>133034</v>
      </c>
    </row>
    <row r="26" customFormat="false" ht="12.75" hidden="false" customHeight="true" outlineLevel="0" collapsed="false">
      <c r="A26" s="1" t="s">
        <v>63</v>
      </c>
      <c r="B26" s="1" t="n">
        <v>2025</v>
      </c>
      <c r="C26" s="1" t="s">
        <v>61</v>
      </c>
      <c r="D26" s="14" t="n">
        <f aca="false">VLOOKUP(D$5,VISITS,10,0)</f>
        <v>7466</v>
      </c>
      <c r="E26" s="14" t="n">
        <f aca="false">VLOOKUP(E$5,VISITS,10,0)</f>
        <v>8555</v>
      </c>
      <c r="F26" s="14" t="n">
        <f aca="false">VLOOKUP(F$5,VISITS,10,0)</f>
        <v>18896</v>
      </c>
      <c r="G26" s="14" t="n">
        <f aca="false">VLOOKUP(G$5,VISITS,10,0)</f>
        <v>18283</v>
      </c>
      <c r="H26" s="14" t="n">
        <f aca="false">VLOOKUP(H$5,VISITS,10,0)</f>
        <v>6707</v>
      </c>
      <c r="I26" s="14" t="n">
        <f aca="false">VLOOKUP(I$5,VISITS,10,0)</f>
        <v>23420</v>
      </c>
      <c r="J26" s="14" t="n">
        <f aca="false">VLOOKUP(J$5,VISITS,10,0)</f>
        <v>13201</v>
      </c>
      <c r="K26" s="14" t="n">
        <f aca="false">VLOOKUP(K$5,VISITS,10,0)</f>
        <v>7320</v>
      </c>
      <c r="L26" s="14" t="n">
        <f aca="false">VLOOKUP(L$5,VISITS,10,0)</f>
        <v>5216</v>
      </c>
      <c r="M26" s="14" t="n">
        <f aca="false">VLOOKUP(M$5,VISITS,10,0)</f>
        <v>8395</v>
      </c>
      <c r="N26" s="14"/>
      <c r="O26" s="14" t="n">
        <f aca="false">VLOOKUP(O$5,VISITS,10,0)</f>
        <v>9550</v>
      </c>
      <c r="P26" s="14" t="n">
        <f aca="false">VLOOKUP(P$5,VISITS,10,0)</f>
        <v>7599</v>
      </c>
      <c r="Q26" s="14" t="n">
        <f aca="false">VLOOKUP(Q$5,VISITS,10,0)</f>
        <v>26200</v>
      </c>
      <c r="R26" s="14" t="n">
        <f aca="false">VLOOKUP(R$5,VISITS,10,0)</f>
        <v>2308</v>
      </c>
      <c r="S26" s="14" t="n">
        <f aca="false">VLOOKUP(S$5,VISITS,10,0)</f>
        <v>14324</v>
      </c>
      <c r="T26" s="14" t="n">
        <f aca="false">VLOOKUP(T$5,VISITS,10,0)</f>
        <v>3343</v>
      </c>
      <c r="U26" s="14" t="n">
        <f aca="false">VLOOKUP(U$5,VISITS,10,0)</f>
        <v>6480</v>
      </c>
      <c r="V26" s="14" t="n">
        <f aca="false">VLOOKUP(V$5,VISITS,10,0)</f>
        <v>1782</v>
      </c>
      <c r="W26" s="14" t="n">
        <f aca="false">VLOOKUP(W$5,VISITS,10,0)</f>
        <v>9045</v>
      </c>
      <c r="X26" s="14" t="n">
        <f aca="false">VLOOKUP(X$5,VISITS,10,0)</f>
        <v>2165</v>
      </c>
      <c r="Y26" s="14"/>
      <c r="Z26" s="14"/>
      <c r="AA26" s="14" t="n">
        <f aca="false">VLOOKUP(AA$5,VISITS,10,0)</f>
        <v>2063</v>
      </c>
      <c r="AB26" s="14" t="n">
        <f aca="false">VLOOKUP(AB$5,VISITS,10,0)</f>
        <v>2754</v>
      </c>
      <c r="AC26" s="14"/>
      <c r="AD26" s="14" t="n">
        <f aca="false">VLOOKUP(AD$5,VISITS,10,0)</f>
        <v>11883</v>
      </c>
      <c r="AE26" s="14" t="n">
        <f aca="false">VLOOKUP(AE$5,VISITS,10,0)</f>
        <v>19730</v>
      </c>
      <c r="AF26" s="14" t="n">
        <f aca="false">VLOOKUP(AF$5,VISITS,10,0)</f>
        <v>4393</v>
      </c>
      <c r="AG26" s="14" t="n">
        <f aca="false">VLOOKUP(AG$5,VISITS,10,0)</f>
        <v>15281</v>
      </c>
      <c r="AH26" s="14" t="n">
        <f aca="false">VLOOKUP(AH$5,VISITS,10,0)</f>
        <v>25906</v>
      </c>
      <c r="AI26" s="14" t="n">
        <f aca="false">VLOOKUP(AI$5,VISITS,10,0)</f>
        <v>16822</v>
      </c>
      <c r="AJ26" s="14" t="n">
        <f aca="false">VLOOKUP(AJ$5,VISITS,10,0)</f>
        <v>13685</v>
      </c>
      <c r="AK26" s="14"/>
      <c r="AL26" s="14" t="n">
        <f aca="false">VLOOKUP(AL$5,VISITS,10,0)</f>
        <v>5292</v>
      </c>
      <c r="AM26" s="14" t="n">
        <f aca="false">VLOOKUP(AM$5,VISITS,10,0)</f>
        <v>12390</v>
      </c>
      <c r="AN26" s="14" t="n">
        <f aca="false">VLOOKUP(AN$5,VISITS,10,0)</f>
        <v>1953</v>
      </c>
      <c r="AO26" s="14" t="n">
        <f aca="false">VLOOKUP(AO$5,VISITS,10,0)</f>
        <v>5594</v>
      </c>
      <c r="AP26" s="14" t="n">
        <f aca="false">VLOOKUP(AP$5,VISITS,10,0)</f>
        <v>3844</v>
      </c>
      <c r="AQ26" s="14" t="n">
        <f aca="false">VLOOKUP(AQ$5,VISITS,10,0)</f>
        <v>4002</v>
      </c>
      <c r="AR26" s="14" t="n">
        <f aca="false">VLOOKUP(AR$5,VISITS,10,0)</f>
        <v>3138</v>
      </c>
      <c r="AS26" s="14" t="n">
        <f aca="false">VLOOKUP(AS$5,VISITS,10,0)</f>
        <v>7320</v>
      </c>
      <c r="AT26" s="14" t="n">
        <f aca="false">VLOOKUP(AT$5,VISITS,10,0)</f>
        <v>986</v>
      </c>
      <c r="AU26" s="14" t="n">
        <f aca="false">VLOOKUP(AU$5,VISITS,10,0)</f>
        <v>628</v>
      </c>
      <c r="AV26" s="14" t="n">
        <f aca="false">VLOOKUP(AV$5,VISITS,10,0)</f>
        <v>12</v>
      </c>
      <c r="AW26" s="14"/>
      <c r="AX26" s="14"/>
      <c r="AY26" s="13" t="n">
        <f aca="false">SUMIF($D$4:$AW$4, AY$4,$D26:$AW26)</f>
        <v>45159</v>
      </c>
      <c r="AZ26" s="13" t="n">
        <f aca="false">SUMIF($D$4:$AW$4, AZ$4,$D26:$AW26)</f>
        <v>117459</v>
      </c>
      <c r="BA26" s="13" t="n">
        <f aca="false">SUMIF($D$4:$AW$4, BA$4,$D26:$AW26)</f>
        <v>82796</v>
      </c>
      <c r="BB26" s="13" t="n">
        <f aca="false">SUMIF($D$4:$AW$4, BB$4,$D26:$AW26)</f>
        <v>4817</v>
      </c>
      <c r="BC26" s="13" t="n">
        <f aca="false">SUMIF($D$4:$AW$4, BC$4,$D26:$AW26)</f>
        <v>107700</v>
      </c>
      <c r="BD26" s="14"/>
      <c r="BE26" s="13" t="n">
        <f aca="false">SUM(D26:AW26)</f>
        <v>357931</v>
      </c>
    </row>
    <row r="27" customFormat="false" ht="12.75" hidden="false" customHeight="true" outlineLevel="0" collapsed="false">
      <c r="A27" s="1" t="s">
        <v>64</v>
      </c>
      <c r="B27" s="1" t="n">
        <v>2025</v>
      </c>
      <c r="C27" s="1" t="s">
        <v>61</v>
      </c>
      <c r="D27" s="14" t="n">
        <f aca="false">VLOOKUP(D$5,VISITS,11,0)</f>
        <v>15791</v>
      </c>
      <c r="E27" s="14" t="n">
        <f aca="false">VLOOKUP(E$5,VISITS,11,0)</f>
        <v>2198</v>
      </c>
      <c r="F27" s="14" t="n">
        <f aca="false">VLOOKUP(F$5,VISITS,11,0)</f>
        <v>3882</v>
      </c>
      <c r="G27" s="14" t="n">
        <f aca="false">VLOOKUP(G$5,VISITS,11,0)</f>
        <v>11304</v>
      </c>
      <c r="H27" s="14" t="n">
        <f aca="false">VLOOKUP(H$5,VISITS,11,0)</f>
        <v>8143</v>
      </c>
      <c r="I27" s="14" t="n">
        <f aca="false">VLOOKUP(I$5,VISITS,11,0)</f>
        <v>22190</v>
      </c>
      <c r="J27" s="14" t="n">
        <f aca="false">VLOOKUP(J$5,VISITS,11,0)</f>
        <v>33047</v>
      </c>
      <c r="K27" s="14" t="n">
        <f aca="false">VLOOKUP(K$5,VISITS,11,0)</f>
        <v>4299</v>
      </c>
      <c r="L27" s="14" t="n">
        <f aca="false">VLOOKUP(L$5,VISITS,11,0)</f>
        <v>2413</v>
      </c>
      <c r="M27" s="14" t="n">
        <f aca="false">VLOOKUP(M$5,VISITS,11,0)</f>
        <v>3632</v>
      </c>
      <c r="N27" s="14"/>
      <c r="O27" s="14" t="n">
        <f aca="false">VLOOKUP(O$5,VISITS,11,0)</f>
        <v>25444</v>
      </c>
      <c r="P27" s="14" t="n">
        <f aca="false">VLOOKUP(P$5,VISITS,11,0)</f>
        <v>4032</v>
      </c>
      <c r="Q27" s="14" t="n">
        <f aca="false">VLOOKUP(Q$5,VISITS,11,0)</f>
        <v>21545</v>
      </c>
      <c r="R27" s="14" t="n">
        <f aca="false">VLOOKUP(R$5,VISITS,11,0)</f>
        <v>4447</v>
      </c>
      <c r="S27" s="14" t="n">
        <f aca="false">VLOOKUP(S$5,VISITS,11,0)</f>
        <v>6176</v>
      </c>
      <c r="T27" s="14" t="n">
        <f aca="false">VLOOKUP(T$5,VISITS,11,0)</f>
        <v>3951</v>
      </c>
      <c r="U27" s="14" t="n">
        <f aca="false">VLOOKUP(U$5,VISITS,11,0)</f>
        <v>11523</v>
      </c>
      <c r="V27" s="14" t="n">
        <f aca="false">VLOOKUP(V$5,VISITS,11,0)</f>
        <v>8994</v>
      </c>
      <c r="W27" s="14" t="n">
        <f aca="false">VLOOKUP(W$5,VISITS,11,0)</f>
        <v>9052</v>
      </c>
      <c r="X27" s="14" t="n">
        <f aca="false">VLOOKUP(X$5,VISITS,11,0)</f>
        <v>4070</v>
      </c>
      <c r="Y27" s="14"/>
      <c r="Z27" s="14"/>
      <c r="AA27" s="14" t="n">
        <f aca="false">VLOOKUP(AA$5,VISITS,11,0)</f>
        <v>4036</v>
      </c>
      <c r="AB27" s="14" t="n">
        <f aca="false">VLOOKUP(AB$5,VISITS,11,0)</f>
        <v>24051</v>
      </c>
      <c r="AC27" s="14"/>
      <c r="AD27" s="14" t="n">
        <f aca="false">VLOOKUP(AD$5,VISITS,11,0)</f>
        <v>14090</v>
      </c>
      <c r="AE27" s="14" t="n">
        <f aca="false">VLOOKUP(AE$5,VISITS,11,0)</f>
        <v>4708</v>
      </c>
      <c r="AF27" s="14" t="n">
        <f aca="false">VLOOKUP(AF$5,VISITS,11,0)</f>
        <v>17674</v>
      </c>
      <c r="AG27" s="14" t="n">
        <f aca="false">VLOOKUP(AG$5,VISITS,11,0)</f>
        <v>9029</v>
      </c>
      <c r="AH27" s="14" t="n">
        <f aca="false">VLOOKUP(AH$5,VISITS,11,0)</f>
        <v>9491</v>
      </c>
      <c r="AI27" s="14" t="n">
        <f aca="false">VLOOKUP(AI$5,VISITS,11,0)</f>
        <v>7448</v>
      </c>
      <c r="AJ27" s="14" t="n">
        <f aca="false">VLOOKUP(AJ$5,VISITS,11,0)</f>
        <v>3568</v>
      </c>
      <c r="AK27" s="14"/>
      <c r="AL27" s="14" t="n">
        <f aca="false">VLOOKUP(AL$5,VISITS,11,0)</f>
        <v>11470</v>
      </c>
      <c r="AM27" s="14" t="n">
        <f aca="false">VLOOKUP(AM$5,VISITS,11,0)</f>
        <v>6469</v>
      </c>
      <c r="AN27" s="14" t="n">
        <f aca="false">VLOOKUP(AN$5,VISITS,11,0)</f>
        <v>5416</v>
      </c>
      <c r="AO27" s="14" t="n">
        <f aca="false">VLOOKUP(AO$5,VISITS,11,0)</f>
        <v>31360</v>
      </c>
      <c r="AP27" s="14" t="n">
        <f aca="false">VLOOKUP(AP$5,VISITS,11,0)</f>
        <v>10624</v>
      </c>
      <c r="AQ27" s="14" t="n">
        <f aca="false">VLOOKUP(AQ$5,VISITS,11,0)</f>
        <v>11294</v>
      </c>
      <c r="AR27" s="14" t="n">
        <f aca="false">VLOOKUP(AR$5,VISITS,11,0)</f>
        <v>17341</v>
      </c>
      <c r="AS27" s="14" t="n">
        <f aca="false">VLOOKUP(AS$5,VISITS,11,0)</f>
        <v>7030</v>
      </c>
      <c r="AT27" s="14" t="n">
        <f aca="false">VLOOKUP(AT$5,VISITS,11,0)</f>
        <v>2663</v>
      </c>
      <c r="AU27" s="14" t="n">
        <f aca="false">VLOOKUP(AU$5,VISITS,11,0)</f>
        <v>3052</v>
      </c>
      <c r="AV27" s="14" t="n">
        <f aca="false">VLOOKUP(AV$5,VISITS,11,0)</f>
        <v>417</v>
      </c>
      <c r="AW27" s="14"/>
      <c r="AX27" s="14"/>
      <c r="AY27" s="13" t="n">
        <f aca="false">SUMIF($D$4:$AW$4, AY$4,$D27:$AW27)</f>
        <v>107136</v>
      </c>
      <c r="AZ27" s="13" t="n">
        <f aca="false">SUMIF($D$4:$AW$4, AZ$4,$D27:$AW27)</f>
        <v>106899</v>
      </c>
      <c r="BA27" s="13" t="n">
        <f aca="false">SUMIF($D$4:$AW$4, BA$4,$D27:$AW27)</f>
        <v>99234</v>
      </c>
      <c r="BB27" s="13" t="n">
        <f aca="false">SUMIF($D$4:$AW$4, BB$4,$D27:$AW27)</f>
        <v>28087</v>
      </c>
      <c r="BC27" s="13" t="n">
        <f aca="false">SUMIF($D$4:$AW$4, BC$4,$D27:$AW27)</f>
        <v>66008</v>
      </c>
      <c r="BD27" s="14"/>
      <c r="BE27" s="13" t="n">
        <f aca="false">SUM(D27:AW27)</f>
        <v>407364</v>
      </c>
    </row>
    <row r="28" customFormat="false" ht="12.75" hidden="false" customHeight="true" outlineLevel="0" collapsed="false">
      <c r="A28" s="1" t="s">
        <v>51</v>
      </c>
      <c r="B28" s="1" t="n">
        <v>2025</v>
      </c>
      <c r="C28" s="1" t="s">
        <v>65</v>
      </c>
      <c r="D28" s="14" t="n">
        <f aca="false">VLOOKUP(D$5,VISITS,3,0)</f>
        <v>7184</v>
      </c>
      <c r="E28" s="14" t="n">
        <f aca="false">VLOOKUP(E$5,VISITS,3,0)</f>
        <v>4907</v>
      </c>
      <c r="F28" s="14" t="n">
        <f aca="false">VLOOKUP(F$5,VISITS,3,0)</f>
        <v>7333</v>
      </c>
      <c r="G28" s="14" t="n">
        <f aca="false">VLOOKUP(G$5,VISITS,3,0)</f>
        <v>6901</v>
      </c>
      <c r="H28" s="14" t="n">
        <f aca="false">VLOOKUP(H$5,VISITS,3,0)</f>
        <v>7655</v>
      </c>
      <c r="I28" s="14" t="n">
        <f aca="false">VLOOKUP(I$5,VISITS,3,0)</f>
        <v>21587</v>
      </c>
      <c r="J28" s="14" t="n">
        <f aca="false">VLOOKUP(J$5,VISITS,3,0)</f>
        <v>18582</v>
      </c>
      <c r="K28" s="14" t="n">
        <f aca="false">VLOOKUP(K$5,VISITS,3,0)</f>
        <v>2691</v>
      </c>
      <c r="L28" s="14" t="n">
        <f aca="false">VLOOKUP(L$5,VISITS,3,0)</f>
        <v>2114</v>
      </c>
      <c r="M28" s="14" t="n">
        <f aca="false">VLOOKUP(M$5,VISITS,3,0)</f>
        <v>562</v>
      </c>
      <c r="N28" s="14"/>
      <c r="O28" s="14" t="n">
        <f aca="false">VLOOKUP(O$5,VISITS,3,0)</f>
        <v>24462</v>
      </c>
      <c r="P28" s="14" t="n">
        <f aca="false">VLOOKUP(P$5,VISITS,3,0)</f>
        <v>2905</v>
      </c>
      <c r="Q28" s="14" t="n">
        <f aca="false">VLOOKUP(Q$5,VISITS,3,0)</f>
        <v>28188</v>
      </c>
      <c r="R28" s="14" t="n">
        <f aca="false">VLOOKUP(R$5,VISITS,3,0)</f>
        <v>368</v>
      </c>
      <c r="S28" s="14" t="n">
        <f aca="false">VLOOKUP(S$5,VISITS,3,0)</f>
        <v>9717</v>
      </c>
      <c r="T28" s="14" t="n">
        <f aca="false">VLOOKUP(T$5,VISITS,3,0)</f>
        <v>5370</v>
      </c>
      <c r="U28" s="14" t="n">
        <f aca="false">VLOOKUP(U$5,VISITS,3,0)</f>
        <v>3862</v>
      </c>
      <c r="V28" s="14" t="n">
        <f aca="false">VLOOKUP(V$5,VISITS,3,0)</f>
        <v>8373</v>
      </c>
      <c r="W28" s="14" t="n">
        <f aca="false">VLOOKUP(W$5,VISITS,3,0)</f>
        <v>8057</v>
      </c>
      <c r="X28" s="14" t="n">
        <f aca="false">VLOOKUP(X$5,VISITS,3,0)</f>
        <v>1655</v>
      </c>
      <c r="Y28" s="14"/>
      <c r="Z28" s="14"/>
      <c r="AA28" s="14" t="n">
        <f aca="false">VLOOKUP(AA$5,VISITS,3,0)</f>
        <v>4650</v>
      </c>
      <c r="AB28" s="14" t="n">
        <f aca="false">VLOOKUP(AB$5,VISITS,3,0)</f>
        <v>21986</v>
      </c>
      <c r="AC28" s="14"/>
      <c r="AD28" s="14" t="n">
        <f aca="false">VLOOKUP(AD$5,VISITS,3,0)</f>
        <v>5679</v>
      </c>
      <c r="AE28" s="14" t="n">
        <f aca="false">VLOOKUP(AE$5,VISITS,3,0)</f>
        <v>13189</v>
      </c>
      <c r="AF28" s="14" t="n">
        <f aca="false">VLOOKUP(AF$5,VISITS,3,0)</f>
        <v>12688</v>
      </c>
      <c r="AG28" s="14" t="n">
        <f aca="false">VLOOKUP(AG$5,VISITS,3,0)</f>
        <v>14563</v>
      </c>
      <c r="AH28" s="14" t="n">
        <f aca="false">VLOOKUP(AH$5,VISITS,3,0)</f>
        <v>22017</v>
      </c>
      <c r="AI28" s="14" t="n">
        <f aca="false">VLOOKUP(AI$5,VISITS,3,0)</f>
        <v>13332</v>
      </c>
      <c r="AJ28" s="14" t="n">
        <f aca="false">VLOOKUP(AJ$5,VISITS,3,0)</f>
        <v>12000</v>
      </c>
      <c r="AK28" s="14"/>
      <c r="AL28" s="14" t="n">
        <f aca="false">VLOOKUP(AL$5,VISITS,3,0)</f>
        <v>12465</v>
      </c>
      <c r="AM28" s="14" t="n">
        <f aca="false">VLOOKUP(AM$5,VISITS,3,0)</f>
        <v>16027</v>
      </c>
      <c r="AN28" s="14" t="n">
        <f aca="false">VLOOKUP(AN$5,VISITS,3,0)</f>
        <v>12931</v>
      </c>
      <c r="AO28" s="14" t="n">
        <f aca="false">VLOOKUP(AO$5,VISITS,3,0)</f>
        <v>40056</v>
      </c>
      <c r="AP28" s="14" t="n">
        <f aca="false">VLOOKUP(AP$5,VISITS,3,0)</f>
        <v>10495</v>
      </c>
      <c r="AQ28" s="14" t="n">
        <f aca="false">VLOOKUP(AQ$5,VISITS,3,0)</f>
        <v>7986</v>
      </c>
      <c r="AR28" s="14" t="n">
        <f aca="false">VLOOKUP(AR$5,VISITS,3,0)</f>
        <v>17289</v>
      </c>
      <c r="AS28" s="14" t="n">
        <f aca="false">VLOOKUP(AS$5,VISITS,3,0)</f>
        <v>12075</v>
      </c>
      <c r="AT28" s="14" t="n">
        <f aca="false">VLOOKUP(AT$5,VISITS,3,0)</f>
        <v>2413</v>
      </c>
      <c r="AU28" s="14" t="n">
        <f aca="false">VLOOKUP(AU$5,VISITS,3,0)</f>
        <v>1858</v>
      </c>
      <c r="AV28" s="14" t="n">
        <v>157</v>
      </c>
      <c r="AW28" s="14"/>
      <c r="AX28" s="14"/>
      <c r="AY28" s="13" t="n">
        <f aca="false">SUMIF($D$4:$AW$4, AY$4,$D28:$AW28)</f>
        <v>133752</v>
      </c>
      <c r="AZ28" s="13" t="n">
        <f aca="false">SUMIF($D$4:$AW$4, AZ$4,$D28:$AW28)</f>
        <v>79516</v>
      </c>
      <c r="BA28" s="13" t="n">
        <f aca="false">SUMIF($D$4:$AW$4, BA$4,$D28:$AW28)</f>
        <v>92957</v>
      </c>
      <c r="BB28" s="13" t="n">
        <f aca="false">SUMIF($D$4:$AW$4, BB$4,$D28:$AW28)</f>
        <v>26636</v>
      </c>
      <c r="BC28" s="13" t="n">
        <f aca="false">SUMIF($D$4:$AW$4, BC$4,$D28:$AW28)</f>
        <v>93468</v>
      </c>
      <c r="BD28" s="14"/>
      <c r="BE28" s="13" t="n">
        <f aca="false">SUM(D28:AW28)</f>
        <v>426329</v>
      </c>
    </row>
    <row r="29" customFormat="false" ht="12.75" hidden="false" customHeight="true" outlineLevel="0" collapsed="false">
      <c r="A29" s="1" t="s">
        <v>54</v>
      </c>
      <c r="B29" s="1" t="n">
        <v>2025</v>
      </c>
      <c r="C29" s="1" t="s">
        <v>65</v>
      </c>
      <c r="D29" s="14" t="n">
        <f aca="false">VLOOKUP(D$5,VISITS,4,0)</f>
        <v>5244</v>
      </c>
      <c r="E29" s="14" t="n">
        <f aca="false">VLOOKUP(E$5,VISITS,4,0)</f>
        <v>0</v>
      </c>
      <c r="F29" s="14" t="n">
        <f aca="false">VLOOKUP(F$5,VISITS,4,0)</f>
        <v>446</v>
      </c>
      <c r="G29" s="14" t="n">
        <f aca="false">VLOOKUP(G$5,VISITS,4,0)</f>
        <v>7357</v>
      </c>
      <c r="H29" s="14" t="n">
        <f aca="false">VLOOKUP(H$5,VISITS,4,0)</f>
        <v>4654</v>
      </c>
      <c r="I29" s="14" t="n">
        <f aca="false">VLOOKUP(I$5,VISITS,4,0)</f>
        <v>6323</v>
      </c>
      <c r="J29" s="14" t="n">
        <f aca="false">VLOOKUP(J$5,VISITS,4,0)</f>
        <v>8450</v>
      </c>
      <c r="K29" s="14" t="n">
        <f aca="false">VLOOKUP(K$5,VISITS,4,0)</f>
        <v>565</v>
      </c>
      <c r="L29" s="14" t="n">
        <f aca="false">VLOOKUP(L$5,VISITS,4,0)</f>
        <v>1442</v>
      </c>
      <c r="M29" s="14" t="n">
        <f aca="false">VLOOKUP(M$5,VISITS,4,0)</f>
        <v>4626</v>
      </c>
      <c r="N29" s="14"/>
      <c r="O29" s="14" t="n">
        <f aca="false">VLOOKUP(O$5,VISITS,4,0)</f>
        <v>523</v>
      </c>
      <c r="P29" s="14" t="n">
        <f aca="false">VLOOKUP(P$5,VISITS,4,0)</f>
        <v>5240</v>
      </c>
      <c r="Q29" s="14" t="n">
        <f aca="false">VLOOKUP(Q$5,VISITS,4,0)</f>
        <v>8524</v>
      </c>
      <c r="R29" s="14" t="n">
        <f aca="false">VLOOKUP(R$5,VISITS,4,0)</f>
        <v>632</v>
      </c>
      <c r="S29" s="14" t="n">
        <f aca="false">VLOOKUP(S$5,VISITS,4,0)</f>
        <v>7708</v>
      </c>
      <c r="T29" s="14" t="n">
        <f aca="false">VLOOKUP(T$5,VISITS,4,0)</f>
        <v>4386</v>
      </c>
      <c r="U29" s="14" t="n">
        <f aca="false">VLOOKUP(U$5,VISITS,4,0)</f>
        <v>4836</v>
      </c>
      <c r="V29" s="14" t="n">
        <f aca="false">VLOOKUP(V$5,VISITS,4,0)</f>
        <v>238</v>
      </c>
      <c r="W29" s="14" t="n">
        <f aca="false">VLOOKUP(W$5,VISITS,4,0)</f>
        <v>10615</v>
      </c>
      <c r="X29" s="14" t="n">
        <f aca="false">VLOOKUP(X$5,VISITS,4,0)</f>
        <v>794</v>
      </c>
      <c r="Y29" s="14"/>
      <c r="Z29" s="14"/>
      <c r="AA29" s="14" t="n">
        <f aca="false">VLOOKUP(AA$5,VISITS,4,0)</f>
        <v>722</v>
      </c>
      <c r="AB29" s="14" t="n">
        <f aca="false">VLOOKUP(AB$5,VISITS,4,0)</f>
        <v>5</v>
      </c>
      <c r="AC29" s="14"/>
      <c r="AD29" s="14" t="n">
        <f aca="false">VLOOKUP(AD$5,VISITS,4,0)</f>
        <v>3522</v>
      </c>
      <c r="AE29" s="14" t="n">
        <f aca="false">VLOOKUP(AE$5,VISITS,4,0)</f>
        <v>10183</v>
      </c>
      <c r="AF29" s="14" t="n">
        <f aca="false">VLOOKUP(AF$5,VISITS,4,0)</f>
        <v>6197</v>
      </c>
      <c r="AG29" s="14" t="n">
        <f aca="false">VLOOKUP(AG$5,VISITS,4,0)</f>
        <v>9401</v>
      </c>
      <c r="AH29" s="14" t="n">
        <f aca="false">VLOOKUP(AH$5,VISITS,4,0)</f>
        <v>11563</v>
      </c>
      <c r="AI29" s="14" t="n">
        <f aca="false">VLOOKUP(AI$5,VISITS,4,0)</f>
        <v>10151</v>
      </c>
      <c r="AJ29" s="14" t="n">
        <f aca="false">VLOOKUP(AJ$5,VISITS,4,0)</f>
        <v>5829</v>
      </c>
      <c r="AK29" s="14"/>
      <c r="AL29" s="14" t="n">
        <f aca="false">VLOOKUP(AL$5,VISITS,4,0)</f>
        <v>1453</v>
      </c>
      <c r="AM29" s="14" t="n">
        <f aca="false">VLOOKUP(AM$5,VISITS,4,0)</f>
        <v>610</v>
      </c>
      <c r="AN29" s="14" t="n">
        <f aca="false">VLOOKUP(AN$5,VISITS,4,0)</f>
        <v>0</v>
      </c>
      <c r="AO29" s="14" t="n">
        <f aca="false">VLOOKUP(AO$5,VISITS,4,0)</f>
        <v>0</v>
      </c>
      <c r="AP29" s="14" t="n">
        <f aca="false">VLOOKUP(AP$5,VISITS,4,0)</f>
        <v>1667</v>
      </c>
      <c r="AQ29" s="14" t="n">
        <f aca="false">VLOOKUP(AQ$5,VISITS,4,0)</f>
        <v>1369</v>
      </c>
      <c r="AR29" s="14" t="n">
        <f aca="false">VLOOKUP(AR$5,VISITS,4,0)</f>
        <v>13291</v>
      </c>
      <c r="AS29" s="14" t="n">
        <f aca="false">VLOOKUP(AS$5,VISITS,4,0)</f>
        <v>511</v>
      </c>
      <c r="AT29" s="14" t="n">
        <f aca="false">VLOOKUP(AT$5,VISITS,4,0)</f>
        <v>729</v>
      </c>
      <c r="AU29" s="14" t="n">
        <f aca="false">VLOOKUP(AU$5,VISITS,4,0)</f>
        <v>639</v>
      </c>
      <c r="AV29" s="14" t="n">
        <v>0</v>
      </c>
      <c r="AW29" s="14"/>
      <c r="AX29" s="14"/>
      <c r="AY29" s="13" t="n">
        <f aca="false">SUMIF($D$4:$AW$4, AY$4,$D29:$AW29)</f>
        <v>20269</v>
      </c>
      <c r="AZ29" s="13" t="n">
        <f aca="false">SUMIF($D$4:$AW$4, AZ$4,$D29:$AW29)</f>
        <v>39107</v>
      </c>
      <c r="BA29" s="13" t="n">
        <f aca="false">SUMIF($D$4:$AW$4, BA$4,$D29:$AW29)</f>
        <v>43496</v>
      </c>
      <c r="BB29" s="13" t="n">
        <f aca="false">SUMIF($D$4:$AW$4, BB$4,$D29:$AW29)</f>
        <v>727</v>
      </c>
      <c r="BC29" s="13" t="n">
        <f aca="false">SUMIF($D$4:$AW$4, BC$4,$D29:$AW29)</f>
        <v>56846</v>
      </c>
      <c r="BD29" s="14"/>
      <c r="BE29" s="13" t="n">
        <f aca="false">SUM(D29:AW29)</f>
        <v>160445</v>
      </c>
    </row>
    <row r="30" customFormat="false" ht="12.75" hidden="false" customHeight="true" outlineLevel="0" collapsed="false">
      <c r="A30" s="1" t="s">
        <v>66</v>
      </c>
      <c r="B30" s="1" t="n">
        <v>2025</v>
      </c>
      <c r="C30" s="1" t="s">
        <v>65</v>
      </c>
      <c r="D30" s="14" t="n">
        <f aca="false">VLOOKUP(D$5,VISITS,5,0)</f>
        <v>29827</v>
      </c>
      <c r="E30" s="14" t="n">
        <f aca="false">VLOOKUP(E$5,VISITS,5,0)</f>
        <v>10949</v>
      </c>
      <c r="F30" s="14" t="n">
        <f aca="false">VLOOKUP(F$5,VISITS,5,0)</f>
        <v>24838</v>
      </c>
      <c r="G30" s="14" t="n">
        <f aca="false">VLOOKUP(G$5,VISITS,5,0)</f>
        <v>30027</v>
      </c>
      <c r="H30" s="14" t="n">
        <f aca="false">VLOOKUP(H$5,VISITS,5,0)</f>
        <v>17167</v>
      </c>
      <c r="I30" s="14" t="n">
        <f aca="false">VLOOKUP(I$5,VISITS,5,0)</f>
        <v>46837</v>
      </c>
      <c r="J30" s="14" t="n">
        <f aca="false">VLOOKUP(J$5,VISITS,5,0)</f>
        <v>41353</v>
      </c>
      <c r="K30" s="14" t="n">
        <f aca="false">VLOOKUP(K$5,VISITS,5,0)</f>
        <v>12210</v>
      </c>
      <c r="L30" s="14" t="n">
        <f aca="false">VLOOKUP(L$5,VISITS,5,0)</f>
        <v>7032</v>
      </c>
      <c r="M30" s="14" t="n">
        <f aca="false">VLOOKUP(M$5,VISITS,5,0)</f>
        <v>9432</v>
      </c>
      <c r="N30" s="14"/>
      <c r="O30" s="14" t="n">
        <f aca="false">VLOOKUP(O$5,VISITS,5,0)</f>
        <v>16973</v>
      </c>
      <c r="P30" s="14" t="n">
        <f aca="false">VLOOKUP(P$5,VISITS,5,0)</f>
        <v>16108</v>
      </c>
      <c r="Q30" s="14" t="n">
        <f aca="false">VLOOKUP(Q$5,VISITS,5,0)</f>
        <v>42747</v>
      </c>
      <c r="R30" s="14" t="n">
        <f aca="false">VLOOKUP(R$5,VISITS,5,0)</f>
        <v>4294</v>
      </c>
      <c r="S30" s="14" t="n">
        <f aca="false">VLOOKUP(S$5,VISITS,5,0)</f>
        <v>22419</v>
      </c>
      <c r="T30" s="14" t="n">
        <f aca="false">VLOOKUP(T$5,VISITS,5,0)</f>
        <v>9391</v>
      </c>
      <c r="U30" s="14" t="n">
        <f aca="false">VLOOKUP(U$5,VISITS,5,0)</f>
        <v>13998</v>
      </c>
      <c r="V30" s="14" t="n">
        <f aca="false">VLOOKUP(V$5,VISITS,5,0)</f>
        <v>10329</v>
      </c>
      <c r="W30" s="14" t="n">
        <f aca="false">VLOOKUP(W$5,VISITS,5,0)</f>
        <v>17145</v>
      </c>
      <c r="X30" s="14" t="n">
        <f aca="false">VLOOKUP(X$5,VISITS,5,0)</f>
        <v>6132</v>
      </c>
      <c r="Y30" s="14"/>
      <c r="Z30" s="14"/>
      <c r="AA30" s="14" t="n">
        <f aca="false">VLOOKUP(AA$5,VISITS,5,0)</f>
        <v>67</v>
      </c>
      <c r="AB30" s="14" t="n">
        <f aca="false">VLOOKUP(AB$5,VISITS,5,0)</f>
        <v>8234</v>
      </c>
      <c r="AC30" s="14"/>
      <c r="AD30" s="14" t="n">
        <f aca="false">VLOOKUP(AD$5,VISITS,5,0)</f>
        <v>17815</v>
      </c>
      <c r="AE30" s="14" t="n">
        <f aca="false">VLOOKUP(AE$5,VISITS,5,0)</f>
        <v>36820</v>
      </c>
      <c r="AF30" s="14" t="n">
        <f aca="false">VLOOKUP(AF$5,VISITS,5,0)</f>
        <v>20040</v>
      </c>
      <c r="AG30" s="14" t="n">
        <f aca="false">VLOOKUP(AG$5,VISITS,5,0)</f>
        <v>43325</v>
      </c>
      <c r="AH30" s="14" t="n">
        <f aca="false">VLOOKUP(AH$5,VISITS,5,0)</f>
        <v>76048</v>
      </c>
      <c r="AI30" s="14" t="n">
        <f aca="false">VLOOKUP(AI$5,VISITS,5,0)</f>
        <v>45328</v>
      </c>
      <c r="AJ30" s="14" t="n">
        <f aca="false">VLOOKUP(AJ$5,VISITS,5,0)</f>
        <v>35197</v>
      </c>
      <c r="AK30" s="14"/>
      <c r="AL30" s="14" t="n">
        <f aca="false">VLOOKUP(AL$5,VISITS,5,0)</f>
        <v>13972</v>
      </c>
      <c r="AM30" s="14" t="n">
        <f aca="false">VLOOKUP(AM$5,VISITS,5,0)</f>
        <v>5707</v>
      </c>
      <c r="AN30" s="14" t="n">
        <f aca="false">VLOOKUP(AN$5,VISITS,5,0)</f>
        <v>12042</v>
      </c>
      <c r="AO30" s="14" t="n">
        <f aca="false">VLOOKUP(AO$5,VISITS,5,0)</f>
        <v>26472</v>
      </c>
      <c r="AP30" s="14" t="n">
        <f aca="false">VLOOKUP(AP$5,VISITS,5,0)</f>
        <v>11496</v>
      </c>
      <c r="AQ30" s="14" t="n">
        <f aca="false">VLOOKUP(AQ$5,VISITS,5,0)</f>
        <v>12037</v>
      </c>
      <c r="AR30" s="14" t="n">
        <f aca="false">VLOOKUP(AR$5,VISITS,5,0)</f>
        <v>12523</v>
      </c>
      <c r="AS30" s="14" t="n">
        <f aca="false">VLOOKUP(AS$5,VISITS,5,0)</f>
        <v>6554</v>
      </c>
      <c r="AT30" s="14" t="n">
        <f aca="false">VLOOKUP(AT$5,VISITS,5,0)</f>
        <v>908</v>
      </c>
      <c r="AU30" s="14" t="n">
        <f aca="false">VLOOKUP(AU$5,VISITS,5,0)</f>
        <v>1703</v>
      </c>
      <c r="AV30" s="14" t="n">
        <v>389</v>
      </c>
      <c r="AW30" s="14"/>
      <c r="AX30" s="14"/>
      <c r="AY30" s="13" t="n">
        <f aca="false">SUMIF($D$4:$AW$4, AY$4,$D30:$AW30)</f>
        <v>103803</v>
      </c>
      <c r="AZ30" s="13" t="n">
        <f aca="false">SUMIF($D$4:$AW$4, AZ$4,$D30:$AW30)</f>
        <v>229672</v>
      </c>
      <c r="BA30" s="13" t="n">
        <f aca="false">SUMIF($D$4:$AW$4, BA$4,$D30:$AW30)</f>
        <v>159536</v>
      </c>
      <c r="BB30" s="13" t="n">
        <f aca="false">SUMIF($D$4:$AW$4, BB$4,$D30:$AW30)</f>
        <v>8301</v>
      </c>
      <c r="BC30" s="13" t="n">
        <f aca="false">SUMIF($D$4:$AW$4, BC$4,$D30:$AW30)</f>
        <v>274573</v>
      </c>
      <c r="BD30" s="14"/>
      <c r="BE30" s="13" t="n">
        <f aca="false">SUM(D30:AW30)</f>
        <v>775885</v>
      </c>
    </row>
    <row r="31" customFormat="false" ht="12.75" hidden="false" customHeight="true" outlineLevel="0" collapsed="false">
      <c r="A31" s="1" t="s">
        <v>67</v>
      </c>
      <c r="B31" s="1" t="n">
        <v>2025</v>
      </c>
      <c r="C31" s="1" t="s">
        <v>65</v>
      </c>
      <c r="D31" s="14" t="n">
        <f aca="false">VLOOKUP(D$5,VISITS,6,0)</f>
        <v>3444</v>
      </c>
      <c r="E31" s="14" t="n">
        <f aca="false">VLOOKUP(E$5,VISITS,6,0)</f>
        <v>0</v>
      </c>
      <c r="F31" s="14" t="n">
        <f aca="false">VLOOKUP(F$5,VISITS,6,0)</f>
        <v>2496</v>
      </c>
      <c r="G31" s="14" t="n">
        <f aca="false">VLOOKUP(G$5,VISITS,6,0)</f>
        <v>10017</v>
      </c>
      <c r="H31" s="14" t="n">
        <f aca="false">VLOOKUP(H$5,VISITS,6,0)</f>
        <v>3755</v>
      </c>
      <c r="I31" s="14" t="n">
        <f aca="false">VLOOKUP(I$5,VISITS,6,0)</f>
        <v>14112</v>
      </c>
      <c r="J31" s="14" t="n">
        <f aca="false">VLOOKUP(J$5,VISITS,6,0)</f>
        <v>5284</v>
      </c>
      <c r="K31" s="14" t="n">
        <f aca="false">VLOOKUP(K$5,VISITS,6,0)</f>
        <v>0</v>
      </c>
      <c r="L31" s="14" t="n">
        <f aca="false">VLOOKUP(L$5,VISITS,6,0)</f>
        <v>1901</v>
      </c>
      <c r="M31" s="14" t="n">
        <f aca="false">VLOOKUP(M$5,VISITS,6,0)</f>
        <v>4577</v>
      </c>
      <c r="O31" s="14" t="n">
        <f aca="false">VLOOKUP(O$5,VISITS,6,0)</f>
        <v>1629</v>
      </c>
      <c r="P31" s="14" t="n">
        <f aca="false">VLOOKUP(P$5,VISITS,6,0)</f>
        <v>363</v>
      </c>
      <c r="Q31" s="14" t="n">
        <f aca="false">VLOOKUP(Q$5,VISITS,6,0)</f>
        <v>2015</v>
      </c>
      <c r="R31" s="14" t="n">
        <f aca="false">VLOOKUP(R$5,VISITS,6,0)</f>
        <v>0</v>
      </c>
      <c r="S31" s="14" t="n">
        <f aca="false">VLOOKUP(S$5,VISITS,6,0)</f>
        <v>0</v>
      </c>
      <c r="T31" s="14" t="n">
        <f aca="false">VLOOKUP(T$5,VISITS,6,0)</f>
        <v>0</v>
      </c>
      <c r="U31" s="14" t="n">
        <f aca="false">VLOOKUP(U$5,VISITS,6,0)</f>
        <v>0</v>
      </c>
      <c r="V31" s="14" t="n">
        <f aca="false">VLOOKUP(V$5,VISITS,6,0)</f>
        <v>0</v>
      </c>
      <c r="W31" s="14" t="n">
        <f aca="false">VLOOKUP(W$5,VISITS,6,0)</f>
        <v>0</v>
      </c>
      <c r="X31" s="14" t="n">
        <f aca="false">VLOOKUP(X$5,VISITS,6,0)</f>
        <v>341</v>
      </c>
      <c r="AA31" s="14" t="n">
        <f aca="false">VLOOKUP(AA$5,VISITS,6,0)</f>
        <v>131</v>
      </c>
      <c r="AB31" s="14" t="n">
        <f aca="false">VLOOKUP(AB$5,VISITS,6,0)</f>
        <v>0</v>
      </c>
      <c r="AD31" s="14" t="n">
        <f aca="false">VLOOKUP(AD$5,VISITS,6,0)</f>
        <v>0</v>
      </c>
      <c r="AE31" s="14" t="n">
        <f aca="false">VLOOKUP(AE$5,VISITS,6,0)</f>
        <v>0</v>
      </c>
      <c r="AF31" s="14" t="n">
        <f aca="false">VLOOKUP(AF$5,VISITS,6,0)</f>
        <v>12494</v>
      </c>
      <c r="AG31" s="14" t="n">
        <f aca="false">VLOOKUP(AG$5,VISITS,6,0)</f>
        <v>0</v>
      </c>
      <c r="AH31" s="14" t="n">
        <f aca="false">VLOOKUP(AH$5,VISITS,6,0)</f>
        <v>0</v>
      </c>
      <c r="AI31" s="14" t="n">
        <f aca="false">VLOOKUP(AI$5,VISITS,6,0)</f>
        <v>0</v>
      </c>
      <c r="AJ31" s="14" t="n">
        <f aca="false">VLOOKUP(AJ$5,VISITS,6,0)</f>
        <v>0</v>
      </c>
      <c r="AL31" s="14" t="n">
        <f aca="false">VLOOKUP(AL$5,VISITS,6,0)</f>
        <v>0</v>
      </c>
      <c r="AM31" s="14" t="n">
        <f aca="false">VLOOKUP(AM$5,VISITS,6,0)</f>
        <v>0</v>
      </c>
      <c r="AN31" s="14" t="n">
        <f aca="false">VLOOKUP(AN$5,VISITS,6,0)</f>
        <v>0</v>
      </c>
      <c r="AO31" s="14" t="n">
        <f aca="false">VLOOKUP(AO$5,VISITS,6,0)</f>
        <v>0</v>
      </c>
      <c r="AP31" s="14" t="n">
        <f aca="false">VLOOKUP(AP$5,VISITS,6,0)</f>
        <v>0</v>
      </c>
      <c r="AQ31" s="14" t="n">
        <f aca="false">VLOOKUP(AQ$5,VISITS,6,0)</f>
        <v>0</v>
      </c>
      <c r="AR31" s="14" t="n">
        <f aca="false">VLOOKUP(AR$5,VISITS,6,0)</f>
        <v>0</v>
      </c>
      <c r="AS31" s="14" t="n">
        <f aca="false">VLOOKUP(AS$5,VISITS,6,0)</f>
        <v>0</v>
      </c>
      <c r="AT31" s="14" t="n">
        <f aca="false">VLOOKUP(AT$5,VISITS,6,0)</f>
        <v>0</v>
      </c>
      <c r="AU31" s="14" t="n">
        <f aca="false">VLOOKUP(AU$5,VISITS,6,0)</f>
        <v>0</v>
      </c>
      <c r="AV31" s="2" t="n">
        <v>0</v>
      </c>
      <c r="AW31" s="14"/>
      <c r="AY31" s="13" t="n">
        <f aca="false">SUMIF($D$4:$AW$4, AY$4,$D31:$AW31)</f>
        <v>0</v>
      </c>
      <c r="AZ31" s="13" t="n">
        <f aca="false">SUMIF($D$4:$AW$4, AZ$4,$D31:$AW31)</f>
        <v>45586</v>
      </c>
      <c r="BA31" s="13" t="n">
        <f aca="false">SUMIF($D$4:$AW$4, BA$4,$D31:$AW31)</f>
        <v>4348</v>
      </c>
      <c r="BB31" s="13" t="n">
        <f aca="false">SUMIF($D$4:$AW$4, BB$4,$D31:$AW31)</f>
        <v>131</v>
      </c>
      <c r="BC31" s="13" t="n">
        <f aca="false">SUMIF($D$4:$AW$4, BC$4,$D31:$AW31)</f>
        <v>12494</v>
      </c>
      <c r="BE31" s="13" t="n">
        <f aca="false">SUM(D31:AW31)</f>
        <v>62559</v>
      </c>
    </row>
    <row r="32" customFormat="false" ht="12.75" hidden="false" customHeight="true" outlineLevel="0" collapsed="false">
      <c r="A32" s="1" t="s">
        <v>56</v>
      </c>
      <c r="B32" s="1" t="n">
        <v>2025</v>
      </c>
      <c r="C32" s="1" t="s">
        <v>65</v>
      </c>
      <c r="D32" s="14" t="n">
        <f aca="false">VLOOKUP(D$5,VISITS,7,0)</f>
        <v>1536</v>
      </c>
      <c r="E32" s="14" t="n">
        <f aca="false">VLOOKUP(E$5,VISITS,7,0)</f>
        <v>1847</v>
      </c>
      <c r="F32" s="14" t="n">
        <f aca="false">VLOOKUP(F$5,VISITS,7,0)</f>
        <v>165</v>
      </c>
      <c r="G32" s="14" t="n">
        <f aca="false">VLOOKUP(G$5,VISITS,7,0)</f>
        <v>993</v>
      </c>
      <c r="H32" s="14" t="n">
        <f aca="false">VLOOKUP(H$5,VISITS,7,0)</f>
        <v>1760</v>
      </c>
      <c r="I32" s="14" t="n">
        <f aca="false">VLOOKUP(I$5,VISITS,7,0)</f>
        <v>2388</v>
      </c>
      <c r="J32" s="14" t="n">
        <f aca="false">VLOOKUP(J$5,VISITS,7,0)</f>
        <v>1659</v>
      </c>
      <c r="K32" s="14" t="n">
        <f aca="false">VLOOKUP(K$5,VISITS,7,0)</f>
        <v>0</v>
      </c>
      <c r="L32" s="14" t="n">
        <f aca="false">VLOOKUP(L$5,VISITS,7,0)</f>
        <v>0</v>
      </c>
      <c r="M32" s="14" t="n">
        <f aca="false">VLOOKUP(M$5,VISITS,7,0)</f>
        <v>623</v>
      </c>
      <c r="O32" s="14" t="n">
        <f aca="false">VLOOKUP(O$5,VISITS,7,0)</f>
        <v>3825</v>
      </c>
      <c r="P32" s="14" t="n">
        <f aca="false">VLOOKUP(P$5,VISITS,7,0)</f>
        <v>2356</v>
      </c>
      <c r="Q32" s="14" t="n">
        <f aca="false">VLOOKUP(Q$5,VISITS,7,0)</f>
        <v>10304</v>
      </c>
      <c r="R32" s="14" t="n">
        <f aca="false">VLOOKUP(R$5,VISITS,7,0)</f>
        <v>2520</v>
      </c>
      <c r="S32" s="14" t="n">
        <f aca="false">VLOOKUP(S$5,VISITS,7,0)</f>
        <v>5682</v>
      </c>
      <c r="T32" s="14" t="n">
        <f aca="false">VLOOKUP(T$5,VISITS,7,0)</f>
        <v>3431</v>
      </c>
      <c r="U32" s="14" t="n">
        <f aca="false">VLOOKUP(U$5,VISITS,7,0)</f>
        <v>4268</v>
      </c>
      <c r="V32" s="14" t="n">
        <f aca="false">VLOOKUP(V$5,VISITS,7,0)</f>
        <v>8</v>
      </c>
      <c r="W32" s="14" t="n">
        <f aca="false">VLOOKUP(W$5,VISITS,7,0)</f>
        <v>2928</v>
      </c>
      <c r="X32" s="14" t="n">
        <f aca="false">VLOOKUP(X$5,VISITS,7,0)</f>
        <v>247</v>
      </c>
      <c r="AA32" s="14" t="n">
        <f aca="false">VLOOKUP(AA$5,VISITS,7,0)</f>
        <v>624</v>
      </c>
      <c r="AB32" s="14" t="n">
        <f aca="false">VLOOKUP(AB$5,VISITS,7,0)</f>
        <v>0</v>
      </c>
      <c r="AD32" s="14" t="n">
        <f aca="false">VLOOKUP(AD$5,VISITS,7,0)</f>
        <v>0</v>
      </c>
      <c r="AE32" s="14" t="n">
        <f aca="false">VLOOKUP(AE$5,VISITS,7,0)</f>
        <v>486</v>
      </c>
      <c r="AF32" s="14" t="n">
        <f aca="false">VLOOKUP(AF$5,VISITS,7,0)</f>
        <v>2373</v>
      </c>
      <c r="AG32" s="14" t="n">
        <f aca="false">VLOOKUP(AG$5,VISITS,7,0)</f>
        <v>1747</v>
      </c>
      <c r="AH32" s="14" t="n">
        <f aca="false">VLOOKUP(AH$5,VISITS,7,0)</f>
        <v>2630</v>
      </c>
      <c r="AI32" s="14" t="n">
        <f aca="false">VLOOKUP(AI$5,VISITS,7,0)</f>
        <v>580</v>
      </c>
      <c r="AJ32" s="14" t="n">
        <f aca="false">VLOOKUP(AJ$5,VISITS,7,0)</f>
        <v>993</v>
      </c>
      <c r="AL32" s="14" t="n">
        <f aca="false">VLOOKUP(AL$5,VISITS,7,0)</f>
        <v>1444</v>
      </c>
      <c r="AM32" s="14" t="n">
        <f aca="false">VLOOKUP(AM$5,VISITS,7,0)</f>
        <v>3334</v>
      </c>
      <c r="AN32" s="14" t="n">
        <f aca="false">VLOOKUP(AN$5,VISITS,7,0)</f>
        <v>646</v>
      </c>
      <c r="AO32" s="14" t="n">
        <f aca="false">VLOOKUP(AO$5,VISITS,7,0)</f>
        <v>3390</v>
      </c>
      <c r="AP32" s="14" t="n">
        <f aca="false">VLOOKUP(AP$5,VISITS,7,0)</f>
        <v>1345</v>
      </c>
      <c r="AQ32" s="14" t="n">
        <f aca="false">VLOOKUP(AQ$5,VISITS,7,0)</f>
        <v>2328</v>
      </c>
      <c r="AR32" s="14" t="n">
        <f aca="false">VLOOKUP(AR$5,VISITS,7,0)</f>
        <v>2345</v>
      </c>
      <c r="AS32" s="14" t="n">
        <f aca="false">VLOOKUP(AS$5,VISITS,7,0)</f>
        <v>1363</v>
      </c>
      <c r="AT32" s="14" t="n">
        <f aca="false">VLOOKUP(AT$5,VISITS,7,0)</f>
        <v>0</v>
      </c>
      <c r="AU32" s="14" t="n">
        <f aca="false">VLOOKUP(AU$5,VISITS,7,0)</f>
        <v>29</v>
      </c>
      <c r="AV32" s="2" t="n">
        <v>29</v>
      </c>
      <c r="AW32" s="14"/>
      <c r="AY32" s="13" t="n">
        <f aca="false">SUMIF($D$4:$AW$4, AY$4,$D32:$AW32)</f>
        <v>16253</v>
      </c>
      <c r="AZ32" s="13" t="n">
        <f aca="false">SUMIF($D$4:$AW$4, AZ$4,$D32:$AW32)</f>
        <v>10971</v>
      </c>
      <c r="BA32" s="13" t="n">
        <f aca="false">SUMIF($D$4:$AW$4, BA$4,$D32:$AW32)</f>
        <v>35569</v>
      </c>
      <c r="BB32" s="13" t="n">
        <f aca="false">SUMIF($D$4:$AW$4, BB$4,$D32:$AW32)</f>
        <v>624</v>
      </c>
      <c r="BC32" s="13" t="n">
        <f aca="false">SUMIF($D$4:$AW$4, BC$4,$D32:$AW32)</f>
        <v>8809</v>
      </c>
      <c r="BE32" s="13" t="n">
        <f aca="false">SUM(D32:AW32)</f>
        <v>72226</v>
      </c>
    </row>
    <row r="33" customFormat="false" ht="12.75" hidden="false" customHeight="true" outlineLevel="0" collapsed="false">
      <c r="A33" s="1" t="s">
        <v>68</v>
      </c>
      <c r="B33" s="1" t="n">
        <v>2025</v>
      </c>
      <c r="C33" s="1" t="s">
        <v>65</v>
      </c>
      <c r="D33" s="14" t="n">
        <f aca="false">VLOOKUP(D$5,VISITS,12,0)</f>
        <v>10977</v>
      </c>
      <c r="E33" s="14" t="n">
        <f aca="false">VLOOKUP(E$5,VISITS,12,0)</f>
        <v>8572</v>
      </c>
      <c r="F33" s="14" t="n">
        <f aca="false">VLOOKUP(F$5,VISITS,12,0)</f>
        <v>19115</v>
      </c>
      <c r="G33" s="14" t="n">
        <f aca="false">VLOOKUP(G$5,VISITS,12,0)</f>
        <v>14128</v>
      </c>
      <c r="H33" s="14" t="n">
        <f aca="false">VLOOKUP(H$5,VISITS,12,0)</f>
        <v>10914</v>
      </c>
      <c r="I33" s="14" t="n">
        <f aca="false">VLOOKUP(I$5,VISITS,12,0)</f>
        <v>33021</v>
      </c>
      <c r="J33" s="14" t="n">
        <f aca="false">VLOOKUP(J$5,VISITS,12,0)</f>
        <v>23630</v>
      </c>
      <c r="K33" s="14" t="n">
        <f aca="false">VLOOKUP(K$5,VISITS,12,0)</f>
        <v>7495</v>
      </c>
      <c r="L33" s="14" t="n">
        <f aca="false">VLOOKUP(L$5,VISITS,12,0)</f>
        <v>1889</v>
      </c>
      <c r="M33" s="14" t="n">
        <f aca="false">VLOOKUP(M$5,VISITS,12,0)</f>
        <v>3764</v>
      </c>
      <c r="O33" s="14" t="n">
        <f aca="false">VLOOKUP(O$5,VISITS,12,0)</f>
        <v>11286</v>
      </c>
      <c r="P33" s="14" t="n">
        <f aca="false">VLOOKUP(P$5,VISITS,12,0)</f>
        <v>2526</v>
      </c>
      <c r="Q33" s="14" t="n">
        <f aca="false">VLOOKUP(Q$5,VISITS,12,0)</f>
        <v>3665</v>
      </c>
      <c r="R33" s="14" t="n">
        <f aca="false">VLOOKUP(R$5,VISITS,12,0)</f>
        <v>604</v>
      </c>
      <c r="S33" s="14" t="n">
        <f aca="false">VLOOKUP(S$5,VISITS,12,0)</f>
        <v>6099</v>
      </c>
      <c r="T33" s="14" t="n">
        <f aca="false">VLOOKUP(T$5,VISITS,12,0)</f>
        <v>3019</v>
      </c>
      <c r="U33" s="14" t="n">
        <f aca="false">VLOOKUP(U$5,VISITS,12,0)</f>
        <v>3720</v>
      </c>
      <c r="V33" s="14" t="n">
        <f aca="false">VLOOKUP(V$5,VISITS,12,0)</f>
        <v>1826</v>
      </c>
      <c r="W33" s="14" t="n">
        <f aca="false">VLOOKUP(W$5,VISITS,12,0)</f>
        <v>2961</v>
      </c>
      <c r="X33" s="14" t="n">
        <f aca="false">VLOOKUP(X$5,VISITS,12,0)</f>
        <v>1319</v>
      </c>
      <c r="AA33" s="14" t="n">
        <f aca="false">VLOOKUP(AA$5,VISITS,12,0)</f>
        <v>2529</v>
      </c>
      <c r="AB33" s="14" t="n">
        <f aca="false">VLOOKUP(AB$5,VISITS,12,0)</f>
        <v>2254</v>
      </c>
      <c r="AD33" s="14" t="n">
        <f aca="false">VLOOKUP(AD$5,VISITS,12,0)</f>
        <v>502</v>
      </c>
      <c r="AE33" s="14" t="n">
        <f aca="false">VLOOKUP(AE$5,VISITS,12,0)</f>
        <v>1517</v>
      </c>
      <c r="AF33" s="14" t="n">
        <f aca="false">VLOOKUP(AF$5,VISITS,12,0)</f>
        <v>1577</v>
      </c>
      <c r="AG33" s="14" t="n">
        <f aca="false">VLOOKUP(AG$5,VISITS,12,0)</f>
        <v>2667</v>
      </c>
      <c r="AH33" s="14" t="n">
        <f aca="false">VLOOKUP(AH$5,VISITS,12,0)</f>
        <v>1383</v>
      </c>
      <c r="AI33" s="14" t="n">
        <f aca="false">VLOOKUP(AI$5,VISITS,12,0)</f>
        <v>2164</v>
      </c>
      <c r="AJ33" s="14" t="n">
        <f aca="false">VLOOKUP(AJ$5,VISITS,12,0)</f>
        <v>1708</v>
      </c>
      <c r="AL33" s="14" t="n">
        <f aca="false">VLOOKUP(AL$5,VISITS,12,0)</f>
        <v>2461</v>
      </c>
      <c r="AM33" s="14" t="n">
        <f aca="false">VLOOKUP(AM$5,VISITS,12,0)</f>
        <v>394</v>
      </c>
      <c r="AN33" s="14" t="n">
        <f aca="false">VLOOKUP(AN$5,VISITS,12,0)</f>
        <v>7069</v>
      </c>
      <c r="AO33" s="14" t="n">
        <f aca="false">VLOOKUP(AO$5,VISITS,12,0)</f>
        <v>9956</v>
      </c>
      <c r="AP33" s="14" t="n">
        <f aca="false">VLOOKUP(AP$5,VISITS,12,0)</f>
        <v>7328</v>
      </c>
      <c r="AQ33" s="14" t="n">
        <f aca="false">VLOOKUP(AQ$5,VISITS,12,0)</f>
        <v>7918</v>
      </c>
      <c r="AR33" s="14" t="n">
        <f aca="false">VLOOKUP(AR$5,VISITS,12,0)</f>
        <v>7649</v>
      </c>
      <c r="AS33" s="14" t="n">
        <f aca="false">VLOOKUP(AS$5,VISITS,12,0)</f>
        <v>2561</v>
      </c>
      <c r="AT33" s="14" t="n">
        <f aca="false">VLOOKUP(AT$5,VISITS,12,0)</f>
        <v>608</v>
      </c>
      <c r="AU33" s="14" t="n">
        <f aca="false">VLOOKUP(AU$5,VISITS,12,0)</f>
        <v>544</v>
      </c>
      <c r="AV33" s="2" t="n">
        <v>251</v>
      </c>
      <c r="AW33" s="14" t="e">
        <f aca="false">VLOOKUP(AW$5,VISITS,12,0)</f>
        <v>#N/A</v>
      </c>
      <c r="AY33" s="13" t="e">
        <f aca="false">SUMIF($D$4:$AW$4, AY$4,$D33:$AW33)</f>
        <v>#N/A</v>
      </c>
      <c r="AZ33" s="13" t="n">
        <f aca="false">SUMIF($D$4:$AW$4, AZ$4,$D33:$AW33)</f>
        <v>133505</v>
      </c>
      <c r="BA33" s="13" t="n">
        <f aca="false">SUMIF($D$4:$AW$4, BA$4,$D33:$AW33)</f>
        <v>37025</v>
      </c>
      <c r="BB33" s="13" t="n">
        <f aca="false">SUMIF($D$4:$AW$4, BB$4,$D33:$AW33)</f>
        <v>4783</v>
      </c>
      <c r="BC33" s="13" t="n">
        <f aca="false">SUMIF($D$4:$AW$4, BC$4,$D33:$AW33)</f>
        <v>11518</v>
      </c>
      <c r="BE33" s="13" t="e">
        <f aca="false">SUM(D33:AW33)</f>
        <v>#N/A</v>
      </c>
    </row>
    <row r="34" customFormat="false" ht="12.75" hidden="false" customHeight="true" outlineLevel="0" collapsed="false">
      <c r="A34" s="1" t="s">
        <v>51</v>
      </c>
      <c r="B34" s="1" t="n">
        <v>2025</v>
      </c>
      <c r="C34" s="1" t="s">
        <v>69</v>
      </c>
      <c r="D34" s="2" t="n">
        <v>6.54</v>
      </c>
      <c r="E34" s="2" t="n">
        <v>1.35</v>
      </c>
      <c r="F34" s="2" t="n">
        <v>5.2</v>
      </c>
      <c r="G34" s="2" t="n">
        <v>3.92</v>
      </c>
      <c r="H34" s="2" t="n">
        <v>5</v>
      </c>
      <c r="I34" s="2" t="n">
        <v>5.08</v>
      </c>
      <c r="J34" s="2" t="n">
        <v>7.13</v>
      </c>
      <c r="K34" s="2" t="n">
        <v>1.72</v>
      </c>
      <c r="L34" s="2" t="n">
        <v>1.31</v>
      </c>
      <c r="M34" s="2" t="n">
        <v>1.71</v>
      </c>
      <c r="O34" s="2" t="n">
        <v>6.67</v>
      </c>
      <c r="P34" s="2" t="n">
        <v>2.3</v>
      </c>
      <c r="Q34" s="2" t="n">
        <v>6.16</v>
      </c>
      <c r="R34" s="2" t="n">
        <v>0</v>
      </c>
      <c r="S34" s="2" t="n">
        <v>2.13</v>
      </c>
      <c r="T34" s="2" t="n">
        <v>3.75</v>
      </c>
      <c r="U34" s="2" t="n">
        <v>3.36</v>
      </c>
      <c r="V34" s="2" t="n">
        <v>3.98</v>
      </c>
      <c r="W34" s="2" t="n">
        <v>5.49</v>
      </c>
      <c r="X34" s="2" t="n">
        <v>5.3</v>
      </c>
      <c r="Y34" s="2" t="n">
        <v>2.7</v>
      </c>
      <c r="AA34" s="2" t="n">
        <v>1</v>
      </c>
      <c r="AB34" s="2" t="n">
        <v>5.21</v>
      </c>
      <c r="AD34" s="2" t="n">
        <v>4.24</v>
      </c>
      <c r="AE34" s="2" t="n">
        <v>4.13</v>
      </c>
      <c r="AF34" s="2" t="n">
        <v>3.32</v>
      </c>
      <c r="AG34" s="2" t="n">
        <v>4.97</v>
      </c>
      <c r="AH34" s="2" t="n">
        <v>9.1</v>
      </c>
      <c r="AI34" s="2" t="n">
        <v>4.66</v>
      </c>
      <c r="AJ34" s="2" t="n">
        <v>4.84</v>
      </c>
      <c r="AL34" s="2" t="n">
        <v>7.2</v>
      </c>
      <c r="AM34" s="2" t="n">
        <v>4.6</v>
      </c>
      <c r="AN34" s="2" t="n">
        <v>7.2</v>
      </c>
      <c r="AO34" s="2" t="n">
        <v>15</v>
      </c>
      <c r="AP34" s="2" t="n">
        <v>6.6</v>
      </c>
      <c r="AQ34" s="2" t="n">
        <v>5.7</v>
      </c>
      <c r="AR34" s="2" t="n">
        <v>7</v>
      </c>
      <c r="AS34" s="2" t="n">
        <v>0.2</v>
      </c>
      <c r="AT34" s="2" t="n">
        <v>2.27</v>
      </c>
      <c r="AU34" s="2" t="n">
        <v>1.2</v>
      </c>
      <c r="AV34" s="2" t="n">
        <v>10</v>
      </c>
      <c r="AW34" s="2" t="n">
        <v>5.4</v>
      </c>
      <c r="AY34" s="13" t="n">
        <f aca="false">SUMIF($D$4:$AW$4, AY$4,$D34:$AW34)</f>
        <v>72.37</v>
      </c>
      <c r="AZ34" s="13" t="n">
        <f aca="false">SUMIF($D$4:$AW$4, AZ$4,$D34:$AW34)</f>
        <v>38.96</v>
      </c>
      <c r="BA34" s="13" t="n">
        <f aca="false">SUMIF($D$4:$AW$4, BA$4,$D34:$AW34)</f>
        <v>41.84</v>
      </c>
      <c r="BB34" s="13" t="n">
        <f aca="false">SUMIF($D$4:$AW$4, BB$4,$D34:$AW34)</f>
        <v>6.21</v>
      </c>
      <c r="BC34" s="13" t="n">
        <f aca="false">SUMIF($D$4:$AW$4, BC$4,$D34:$AW34)</f>
        <v>35.26</v>
      </c>
      <c r="BE34" s="13" t="n">
        <f aca="false">SUM(D34:AW34)</f>
        <v>194.64</v>
      </c>
    </row>
    <row r="35" customFormat="false" ht="12.75" hidden="false" customHeight="true" outlineLevel="0" collapsed="false">
      <c r="A35" s="1" t="s">
        <v>51</v>
      </c>
      <c r="B35" s="1" t="n">
        <v>2025</v>
      </c>
      <c r="C35" s="1" t="s">
        <v>70</v>
      </c>
      <c r="D35" s="2" t="n">
        <v>2.1</v>
      </c>
      <c r="E35" s="2" t="n">
        <v>1.35</v>
      </c>
      <c r="F35" s="2" t="n">
        <v>3.15</v>
      </c>
      <c r="G35" s="2" t="n">
        <v>2.2</v>
      </c>
      <c r="H35" s="2" t="n">
        <v>2.76</v>
      </c>
      <c r="I35" s="2" t="n">
        <v>3.4</v>
      </c>
      <c r="J35" s="2" t="n">
        <v>4.4</v>
      </c>
      <c r="K35" s="2" t="n">
        <v>1.72</v>
      </c>
      <c r="L35" s="2" t="n">
        <v>0.85</v>
      </c>
      <c r="M35" s="2" t="n">
        <v>1.5</v>
      </c>
      <c r="O35" s="2" t="n">
        <v>6.02</v>
      </c>
      <c r="P35" s="2" t="n">
        <v>1.59</v>
      </c>
      <c r="Q35" s="2" t="n">
        <v>6.16</v>
      </c>
      <c r="R35" s="2" t="n">
        <v>0</v>
      </c>
      <c r="S35" s="2" t="n">
        <v>1.95</v>
      </c>
      <c r="T35" s="2" t="n">
        <v>2.07</v>
      </c>
      <c r="U35" s="2" t="n">
        <v>1.24</v>
      </c>
      <c r="V35" s="2" t="n">
        <v>3.58</v>
      </c>
      <c r="W35" s="2" t="n">
        <v>2.57</v>
      </c>
      <c r="X35" s="2" t="n">
        <v>0.34</v>
      </c>
      <c r="Y35" s="2" t="n">
        <v>0.33</v>
      </c>
      <c r="AA35" s="2" t="n">
        <v>1.2</v>
      </c>
      <c r="AB35" s="2" t="n">
        <v>0</v>
      </c>
      <c r="AD35" s="2" t="n">
        <v>9.87</v>
      </c>
      <c r="AE35" s="2" t="n">
        <v>5.71</v>
      </c>
      <c r="AF35" s="2" t="n">
        <v>3.32</v>
      </c>
      <c r="AG35" s="2" t="n">
        <v>5.73</v>
      </c>
      <c r="AH35" s="2" t="n">
        <v>8.13</v>
      </c>
      <c r="AI35" s="2" t="n">
        <v>4.54</v>
      </c>
      <c r="AJ35" s="2" t="n">
        <v>5.47</v>
      </c>
      <c r="AL35" s="2" t="n">
        <v>6</v>
      </c>
      <c r="AM35" s="2" t="n">
        <v>4.6</v>
      </c>
      <c r="AN35" s="2" t="n">
        <v>6</v>
      </c>
      <c r="AO35" s="2" t="n">
        <v>14</v>
      </c>
      <c r="AP35" s="2" t="n">
        <v>4</v>
      </c>
      <c r="AQ35" s="2" t="n">
        <v>3.6</v>
      </c>
      <c r="AR35" s="2" t="n">
        <v>6.5</v>
      </c>
      <c r="AS35" s="2" t="n">
        <v>0.3</v>
      </c>
      <c r="AT35" s="2" t="n">
        <v>2.27</v>
      </c>
      <c r="AU35" s="2" t="n">
        <v>1.2</v>
      </c>
      <c r="AV35" s="2" t="n">
        <v>1.3</v>
      </c>
      <c r="AW35" s="2" t="n">
        <v>0</v>
      </c>
      <c r="AY35" s="13" t="n">
        <f aca="false">SUMIF($D$4:$AW$4, AY$4,$D35:$AW35)</f>
        <v>49.77</v>
      </c>
      <c r="AZ35" s="13" t="n">
        <f aca="false">SUMIF($D$4:$AW$4, AZ$4,$D35:$AW35)</f>
        <v>23.43</v>
      </c>
      <c r="BA35" s="13" t="n">
        <f aca="false">SUMIF($D$4:$AW$4, BA$4,$D35:$AW35)</f>
        <v>25.85</v>
      </c>
      <c r="BB35" s="13" t="n">
        <f aca="false">SUMIF($D$4:$AW$4, BB$4,$D35:$AW35)</f>
        <v>1.2</v>
      </c>
      <c r="BC35" s="13" t="n">
        <f aca="false">SUMIF($D$4:$AW$4, BC$4,$D35:$AW35)</f>
        <v>42.77</v>
      </c>
      <c r="BE35" s="13" t="n">
        <f aca="false">SUM(D35:AW35)</f>
        <v>143.02</v>
      </c>
    </row>
    <row r="36" customFormat="false" ht="12.75" hidden="false" customHeight="true" outlineLevel="0" collapsed="false">
      <c r="A36" s="1" t="s">
        <v>54</v>
      </c>
      <c r="B36" s="1" t="n">
        <v>2025</v>
      </c>
      <c r="C36" s="1" t="s">
        <v>69</v>
      </c>
      <c r="D36" s="2" t="n">
        <v>2.17</v>
      </c>
      <c r="G36" s="2" t="n">
        <v>6.12</v>
      </c>
      <c r="H36" s="2" t="n">
        <v>4.43</v>
      </c>
      <c r="I36" s="2" t="n">
        <v>5.58</v>
      </c>
      <c r="J36" s="2" t="n">
        <v>3.47</v>
      </c>
      <c r="L36" s="2" t="n">
        <v>0.96</v>
      </c>
      <c r="M36" s="2" t="n">
        <v>4.74</v>
      </c>
      <c r="O36" s="2" t="n">
        <v>2</v>
      </c>
      <c r="P36" s="2" t="n">
        <v>4.42</v>
      </c>
      <c r="Q36" s="2" t="n">
        <v>2.69</v>
      </c>
      <c r="R36" s="2" t="n">
        <v>1.4</v>
      </c>
      <c r="S36" s="2" t="n">
        <v>3</v>
      </c>
      <c r="T36" s="2" t="n">
        <v>2.08</v>
      </c>
      <c r="U36" s="2" t="n">
        <v>3.6</v>
      </c>
      <c r="V36" s="2" t="n">
        <v>2.6</v>
      </c>
      <c r="W36" s="2" t="n">
        <v>5.51</v>
      </c>
      <c r="X36" s="2" t="n">
        <v>5.3</v>
      </c>
      <c r="Y36" s="2" t="n">
        <v>2.7</v>
      </c>
      <c r="AA36" s="2" t="n">
        <v>1.49</v>
      </c>
      <c r="AB36" s="2" t="n">
        <v>1.2</v>
      </c>
      <c r="AD36" s="2" t="n">
        <v>3.33</v>
      </c>
      <c r="AE36" s="2" t="n">
        <v>1.68</v>
      </c>
      <c r="AF36" s="2" t="n">
        <v>2.62</v>
      </c>
      <c r="AG36" s="2" t="n">
        <v>4.01</v>
      </c>
      <c r="AH36" s="2" t="n">
        <v>5.2</v>
      </c>
      <c r="AI36" s="2" t="n">
        <v>4.01</v>
      </c>
      <c r="AJ36" s="2" t="n">
        <v>5.8</v>
      </c>
      <c r="AL36" s="2" t="n">
        <v>2.01</v>
      </c>
      <c r="AM36" s="2" t="n">
        <v>2</v>
      </c>
      <c r="AO36" s="2" t="n">
        <v>1</v>
      </c>
      <c r="AP36" s="2" t="n">
        <v>1</v>
      </c>
      <c r="AQ36" s="2" t="n">
        <v>2</v>
      </c>
      <c r="AR36" s="2" t="n">
        <v>4</v>
      </c>
      <c r="AV36" s="2" t="n">
        <v>2.32</v>
      </c>
      <c r="AW36" s="2" t="n">
        <v>6</v>
      </c>
      <c r="AY36" s="13" t="n">
        <f aca="false">SUMIF($D$4:$AW$4, AY$4,$D36:$AW36)</f>
        <v>20.33</v>
      </c>
      <c r="AZ36" s="13" t="n">
        <f aca="false">SUMIF($D$4:$AW$4, AZ$4,$D36:$AW36)</f>
        <v>27.47</v>
      </c>
      <c r="BA36" s="13" t="n">
        <f aca="false">SUMIF($D$4:$AW$4, BA$4,$D36:$AW36)</f>
        <v>35.3</v>
      </c>
      <c r="BB36" s="13" t="n">
        <f aca="false">SUMIF($D$4:$AW$4, BB$4,$D36:$AW36)</f>
        <v>2.69</v>
      </c>
      <c r="BC36" s="13" t="n">
        <f aca="false">SUMIF($D$4:$AW$4, BC$4,$D36:$AW36)</f>
        <v>26.65</v>
      </c>
      <c r="BE36" s="13" t="n">
        <f aca="false">SUM(D36:AW36)</f>
        <v>112.44</v>
      </c>
    </row>
    <row r="37" customFormat="false" ht="12.75" hidden="false" customHeight="true" outlineLevel="0" collapsed="false">
      <c r="A37" s="1" t="s">
        <v>54</v>
      </c>
      <c r="B37" s="1" t="n">
        <v>2025</v>
      </c>
      <c r="C37" s="1" t="s">
        <v>70</v>
      </c>
      <c r="D37" s="2" t="n">
        <v>3.96</v>
      </c>
      <c r="G37" s="2" t="n">
        <v>6.12</v>
      </c>
      <c r="H37" s="2" t="n">
        <v>4.36</v>
      </c>
      <c r="I37" s="2" t="n">
        <v>5.6</v>
      </c>
      <c r="J37" s="2" t="n">
        <v>3.3</v>
      </c>
      <c r="L37" s="2" t="n">
        <v>0.15</v>
      </c>
      <c r="M37" s="2" t="n">
        <v>2</v>
      </c>
      <c r="O37" s="2" t="n">
        <v>0.26</v>
      </c>
      <c r="P37" s="2" t="n">
        <v>2.1</v>
      </c>
      <c r="Q37" s="2" t="n">
        <v>2.1</v>
      </c>
      <c r="R37" s="2" t="n">
        <v>0.9</v>
      </c>
      <c r="S37" s="2" t="n">
        <v>2.77</v>
      </c>
      <c r="T37" s="2" t="n">
        <v>1.76</v>
      </c>
      <c r="U37" s="2" t="n">
        <v>2.6</v>
      </c>
      <c r="V37" s="2" t="n">
        <v>0</v>
      </c>
      <c r="W37" s="2" t="n">
        <v>4.11</v>
      </c>
      <c r="X37" s="2" t="n">
        <v>1.39</v>
      </c>
      <c r="Y37" s="2" t="n">
        <v>2.13</v>
      </c>
      <c r="AA37" s="2" t="n">
        <v>1</v>
      </c>
      <c r="AB37" s="2" t="n">
        <v>0</v>
      </c>
      <c r="AD37" s="2" t="n">
        <v>4.21</v>
      </c>
      <c r="AE37" s="2" t="n">
        <v>4.66</v>
      </c>
      <c r="AF37" s="2" t="n">
        <v>2.62</v>
      </c>
      <c r="AG37" s="2" t="n">
        <v>3.84</v>
      </c>
      <c r="AH37" s="2" t="n">
        <v>4.93</v>
      </c>
      <c r="AI37" s="2" t="n">
        <v>4.59</v>
      </c>
      <c r="AJ37" s="2" t="n">
        <v>2.97</v>
      </c>
      <c r="AL37" s="2" t="n">
        <v>1</v>
      </c>
      <c r="AM37" s="2" t="n">
        <v>0.02</v>
      </c>
      <c r="AP37" s="2" t="n">
        <v>0.07</v>
      </c>
      <c r="AQ37" s="2" t="n">
        <v>1.4</v>
      </c>
      <c r="AR37" s="2" t="n">
        <v>4</v>
      </c>
      <c r="AV37" s="2" t="n">
        <v>0</v>
      </c>
      <c r="AW37" s="2" t="n">
        <v>0</v>
      </c>
      <c r="AY37" s="13" t="n">
        <f aca="false">SUMIF($D$4:$AW$4, AY$4,$D37:$AW37)</f>
        <v>6.49</v>
      </c>
      <c r="AZ37" s="13" t="n">
        <f aca="false">SUMIF($D$4:$AW$4, AZ$4,$D37:$AW37)</f>
        <v>25.49</v>
      </c>
      <c r="BA37" s="13" t="n">
        <f aca="false">SUMIF($D$4:$AW$4, BA$4,$D37:$AW37)</f>
        <v>20.12</v>
      </c>
      <c r="BB37" s="13" t="n">
        <f aca="false">SUMIF($D$4:$AW$4, BB$4,$D37:$AW37)</f>
        <v>1</v>
      </c>
      <c r="BC37" s="13" t="n">
        <f aca="false">SUMIF($D$4:$AW$4, BC$4,$D37:$AW37)</f>
        <v>27.82</v>
      </c>
      <c r="BE37" s="13" t="n">
        <f aca="false">SUM(D37:AW37)</f>
        <v>80.92</v>
      </c>
    </row>
    <row r="38" customFormat="false" ht="12.75" hidden="false" customHeight="true" outlineLevel="0" collapsed="false">
      <c r="A38" s="1" t="s">
        <v>55</v>
      </c>
      <c r="B38" s="1" t="n">
        <v>2025</v>
      </c>
      <c r="C38" s="1" t="s">
        <v>69</v>
      </c>
      <c r="D38" s="2" t="n">
        <v>12.66</v>
      </c>
      <c r="E38" s="2" t="n">
        <v>4.22</v>
      </c>
      <c r="F38" s="2" t="n">
        <v>10.31</v>
      </c>
      <c r="G38" s="2" t="n">
        <v>5.96</v>
      </c>
      <c r="H38" s="2" t="n">
        <v>5.96</v>
      </c>
      <c r="I38" s="2" t="n">
        <v>11.65</v>
      </c>
      <c r="J38" s="2" t="n">
        <v>13.82</v>
      </c>
      <c r="K38" s="2" t="n">
        <v>3.94</v>
      </c>
      <c r="L38" s="2" t="n">
        <v>5.13</v>
      </c>
      <c r="M38" s="2" t="n">
        <v>11.54</v>
      </c>
      <c r="O38" s="2" t="n">
        <v>7.25</v>
      </c>
      <c r="P38" s="2" t="n">
        <v>10.66</v>
      </c>
      <c r="Q38" s="2" t="n">
        <v>11.85</v>
      </c>
      <c r="R38" s="2" t="n">
        <v>3.22</v>
      </c>
      <c r="S38" s="2" t="n">
        <v>6.33</v>
      </c>
      <c r="T38" s="2" t="n">
        <v>5.55</v>
      </c>
      <c r="U38" s="2" t="n">
        <v>7.23</v>
      </c>
      <c r="V38" s="2" t="n">
        <v>8.63</v>
      </c>
      <c r="W38" s="2" t="n">
        <v>13.12</v>
      </c>
      <c r="X38" s="2" t="n">
        <v>12.89</v>
      </c>
      <c r="Y38" s="2" t="n">
        <v>7.73</v>
      </c>
      <c r="AA38" s="2" t="n">
        <v>2.98</v>
      </c>
      <c r="AB38" s="2" t="n">
        <v>7.1</v>
      </c>
      <c r="AD38" s="2" t="n">
        <v>9.99</v>
      </c>
      <c r="AE38" s="2" t="n">
        <v>7.14</v>
      </c>
      <c r="AF38" s="2" t="n">
        <v>7.92</v>
      </c>
      <c r="AG38" s="2" t="n">
        <v>13.2</v>
      </c>
      <c r="AH38" s="2" t="n">
        <v>16.35</v>
      </c>
      <c r="AI38" s="2" t="n">
        <v>13.31</v>
      </c>
      <c r="AJ38" s="2" t="n">
        <v>17.25</v>
      </c>
      <c r="AL38" s="2" t="n">
        <v>9.4</v>
      </c>
      <c r="AM38" s="2" t="n">
        <v>7.05</v>
      </c>
      <c r="AN38" s="2" t="n">
        <v>9.4</v>
      </c>
      <c r="AO38" s="2" t="n">
        <v>15.41</v>
      </c>
      <c r="AP38" s="2" t="n">
        <v>9</v>
      </c>
      <c r="AQ38" s="2" t="n">
        <v>9.6</v>
      </c>
      <c r="AR38" s="2" t="n">
        <v>11.18</v>
      </c>
      <c r="AS38" s="2" t="n">
        <v>4.97</v>
      </c>
      <c r="AT38" s="2" t="n">
        <v>1.73</v>
      </c>
      <c r="AU38" s="2" t="n">
        <v>1.84</v>
      </c>
      <c r="AV38" s="2" t="n">
        <v>17.37</v>
      </c>
      <c r="AW38" s="2" t="n">
        <v>11.04</v>
      </c>
      <c r="AY38" s="13" t="n">
        <f aca="false">SUMIF($D$4:$AW$4, AY$4,$D38:$AW38)</f>
        <v>107.99</v>
      </c>
      <c r="AZ38" s="13" t="n">
        <f aca="false">SUMIF($D$4:$AW$4, AZ$4,$D38:$AW38)</f>
        <v>85.19</v>
      </c>
      <c r="BA38" s="13" t="n">
        <f aca="false">SUMIF($D$4:$AW$4, BA$4,$D38:$AW38)</f>
        <v>94.46</v>
      </c>
      <c r="BB38" s="13" t="n">
        <f aca="false">SUMIF($D$4:$AW$4, BB$4,$D38:$AW38)</f>
        <v>10.08</v>
      </c>
      <c r="BC38" s="13" t="n">
        <f aca="false">SUMIF($D$4:$AW$4, BC$4,$D38:$AW38)</f>
        <v>85.16</v>
      </c>
      <c r="BE38" s="13" t="n">
        <f aca="false">SUM(D38:AW38)</f>
        <v>382.88</v>
      </c>
    </row>
    <row r="39" customFormat="false" ht="12.75" hidden="false" customHeight="true" outlineLevel="0" collapsed="false">
      <c r="A39" s="1" t="s">
        <v>55</v>
      </c>
      <c r="B39" s="1" t="n">
        <v>2025</v>
      </c>
      <c r="C39" s="1" t="s">
        <v>70</v>
      </c>
      <c r="D39" s="2" t="n">
        <v>12.66</v>
      </c>
      <c r="E39" s="2" t="n">
        <v>4.22</v>
      </c>
      <c r="F39" s="2" t="n">
        <v>10.31</v>
      </c>
      <c r="G39" s="2" t="n">
        <v>6.47</v>
      </c>
      <c r="H39" s="2" t="n">
        <v>6.45</v>
      </c>
      <c r="I39" s="2" t="n">
        <v>11.79</v>
      </c>
      <c r="J39" s="2" t="n">
        <v>13.37</v>
      </c>
      <c r="K39" s="2" t="n">
        <v>3.94</v>
      </c>
      <c r="L39" s="2" t="n">
        <v>5.26</v>
      </c>
      <c r="M39" s="2" t="n">
        <v>10.27</v>
      </c>
      <c r="O39" s="2" t="n">
        <v>7.18</v>
      </c>
      <c r="P39" s="2" t="n">
        <v>7.74</v>
      </c>
      <c r="Q39" s="2" t="n">
        <v>11.43</v>
      </c>
      <c r="R39" s="2" t="n">
        <v>3.13</v>
      </c>
      <c r="S39" s="2" t="n">
        <v>8.09</v>
      </c>
      <c r="T39" s="2" t="n">
        <v>5.5</v>
      </c>
      <c r="U39" s="2" t="n">
        <v>7.17</v>
      </c>
      <c r="V39" s="2" t="n">
        <v>6.33</v>
      </c>
      <c r="W39" s="2" t="n">
        <v>13.49</v>
      </c>
      <c r="X39" s="2" t="n">
        <v>11.85</v>
      </c>
      <c r="Y39" s="2" t="n">
        <v>7.27</v>
      </c>
      <c r="AA39" s="2" t="n">
        <v>2.03</v>
      </c>
      <c r="AB39" s="2" t="n">
        <v>7.51</v>
      </c>
      <c r="AD39" s="2" t="n">
        <v>12.37</v>
      </c>
      <c r="AE39" s="2" t="n">
        <v>9.07</v>
      </c>
      <c r="AF39" s="2" t="n">
        <v>7.92</v>
      </c>
      <c r="AG39" s="2" t="n">
        <v>10.68</v>
      </c>
      <c r="AH39" s="2" t="n">
        <v>16.32</v>
      </c>
      <c r="AI39" s="2" t="n">
        <v>10.68</v>
      </c>
      <c r="AJ39" s="2" t="n">
        <v>14.37</v>
      </c>
      <c r="AL39" s="2" t="n">
        <v>9.5</v>
      </c>
      <c r="AM39" s="2" t="n">
        <v>2.74</v>
      </c>
      <c r="AN39" s="2" t="n">
        <v>8.5</v>
      </c>
      <c r="AO39" s="2" t="n">
        <v>15.4</v>
      </c>
      <c r="AP39" s="2" t="n">
        <v>6.9</v>
      </c>
      <c r="AQ39" s="2" t="n">
        <v>8.5</v>
      </c>
      <c r="AR39" s="2" t="n">
        <v>11.3</v>
      </c>
      <c r="AS39" s="2" t="n">
        <v>4.96</v>
      </c>
      <c r="AT39" s="2" t="n">
        <v>0.96</v>
      </c>
      <c r="AU39" s="2" t="n">
        <v>3.3</v>
      </c>
      <c r="AV39" s="2" t="n">
        <v>3.3</v>
      </c>
      <c r="AW39" s="2" t="n">
        <v>0</v>
      </c>
      <c r="AY39" s="13" t="n">
        <f aca="false">SUMIF($D$4:$AW$4, AY$4,$D39:$AW39)</f>
        <v>75.36</v>
      </c>
      <c r="AZ39" s="13" t="n">
        <f aca="false">SUMIF($D$4:$AW$4, AZ$4,$D39:$AW39)</f>
        <v>84.74</v>
      </c>
      <c r="BA39" s="13" t="n">
        <f aca="false">SUMIF($D$4:$AW$4, BA$4,$D39:$AW39)</f>
        <v>89.18</v>
      </c>
      <c r="BB39" s="13" t="n">
        <f aca="false">SUMIF($D$4:$AW$4, BB$4,$D39:$AW39)</f>
        <v>9.54</v>
      </c>
      <c r="BC39" s="13" t="n">
        <f aca="false">SUMIF($D$4:$AW$4, BC$4,$D39:$AW39)</f>
        <v>81.41</v>
      </c>
      <c r="BE39" s="13" t="n">
        <f aca="false">SUM(D39:AW39)</f>
        <v>340.23</v>
      </c>
    </row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>
      <c r="A42" s="11" t="s">
        <v>71</v>
      </c>
    </row>
    <row r="43" customFormat="false" ht="12.75" hidden="false" customHeight="true" outlineLevel="0" collapsed="false"/>
    <row r="44" customFormat="false" ht="12.75" hidden="false" customHeight="true" outlineLevel="0" collapsed="false">
      <c r="A44" s="1" t="s">
        <v>51</v>
      </c>
      <c r="B44" s="1" t="n">
        <v>2024</v>
      </c>
      <c r="C44" s="1" t="s">
        <v>52</v>
      </c>
      <c r="D44" s="13" t="n">
        <f aca="false">493689+354297</f>
        <v>847986</v>
      </c>
      <c r="E44" s="13" t="n">
        <v>407160</v>
      </c>
      <c r="F44" s="13" t="n">
        <v>661653</v>
      </c>
      <c r="G44" s="13" t="n">
        <f aca="false">787682+716791</f>
        <v>1504473</v>
      </c>
      <c r="H44" s="13" t="n">
        <f aca="false">642870+634993</f>
        <v>1277863</v>
      </c>
      <c r="I44" s="13" t="n">
        <f aca="false">682111+716217</f>
        <v>1398328</v>
      </c>
      <c r="J44" s="13" t="n">
        <f aca="false">477478+716217</f>
        <v>1193695</v>
      </c>
      <c r="K44" s="13" t="n">
        <v>450669</v>
      </c>
      <c r="L44" s="13" t="n">
        <v>329107</v>
      </c>
      <c r="M44" s="13"/>
      <c r="N44" s="13"/>
      <c r="O44" s="13" t="n">
        <f aca="false">551477+1166035</f>
        <v>1717512</v>
      </c>
      <c r="P44" s="13" t="n">
        <f aca="false">293482+293482</f>
        <v>586964</v>
      </c>
      <c r="Q44" s="13" t="n">
        <f aca="false">180775+1358449</f>
        <v>1539224</v>
      </c>
      <c r="R44" s="13"/>
      <c r="S44" s="13" t="n">
        <v>346050</v>
      </c>
      <c r="T44" s="13" t="n">
        <f aca="false">814964+297507</f>
        <v>1112471</v>
      </c>
      <c r="U44" s="13" t="n">
        <f aca="false">796105+349846</f>
        <v>1145951</v>
      </c>
      <c r="V44" s="13" t="n">
        <f aca="false">658371+437996</f>
        <v>1096367</v>
      </c>
      <c r="W44" s="13" t="n">
        <f aca="false">868178+770882</f>
        <v>1639060</v>
      </c>
      <c r="X44" s="13"/>
      <c r="Y44" s="13"/>
      <c r="Z44" s="13"/>
      <c r="AA44" s="13" t="n">
        <f aca="false">201331+46094</f>
        <v>247425</v>
      </c>
      <c r="AB44" s="13"/>
      <c r="AC44" s="13"/>
      <c r="AD44" s="13" t="n">
        <v>853140</v>
      </c>
      <c r="AE44" s="13" t="n">
        <v>1050496</v>
      </c>
      <c r="AF44" s="13" t="n">
        <v>846001</v>
      </c>
      <c r="AG44" s="13" t="n">
        <v>1337875</v>
      </c>
      <c r="AH44" s="13" t="n">
        <v>2569834</v>
      </c>
      <c r="AI44" s="13" t="n">
        <v>1282574</v>
      </c>
      <c r="AJ44" s="13"/>
      <c r="AK44" s="13"/>
      <c r="AL44" s="13" t="n">
        <v>1809583</v>
      </c>
      <c r="AM44" s="13" t="n">
        <f aca="false">463750+48672</f>
        <v>512422</v>
      </c>
      <c r="AN44" s="13" t="n">
        <f aca="false">1056435+775537</f>
        <v>1831972</v>
      </c>
      <c r="AO44" s="13" t="n">
        <f aca="false">961474+2228339</f>
        <v>3189813</v>
      </c>
      <c r="AP44" s="13" t="n">
        <f aca="false">1234238+1229148</f>
        <v>2463386</v>
      </c>
      <c r="AQ44" s="13" t="n">
        <f aca="false">1074325+1019232</f>
        <v>2093557</v>
      </c>
      <c r="AR44" s="13" t="n">
        <f aca="false">1023167+682111</f>
        <v>1705278</v>
      </c>
      <c r="AS44" s="13"/>
      <c r="AT44" s="13"/>
      <c r="AU44" s="13"/>
      <c r="AV44" s="13"/>
      <c r="AW44" s="13"/>
      <c r="AX44" s="13"/>
      <c r="AY44" s="13" t="n">
        <f aca="false">SUMIF($D$4:$AS$4, AY$4,$D44:$AS44)</f>
        <v>13606011</v>
      </c>
      <c r="AZ44" s="13" t="n">
        <f aca="false">SUMIF($D$4:$AS$4, AZ$4,$D44:$AS44)</f>
        <v>8070934</v>
      </c>
      <c r="BA44" s="13" t="n">
        <f aca="false">SUMIF($D$4:$AS$4, BA$4,$D44:$AS44)</f>
        <v>9183599</v>
      </c>
      <c r="BB44" s="13" t="n">
        <f aca="false">SUMIF($D$4:$AS$4, BB$4,$D44:$AS44)</f>
        <v>247425</v>
      </c>
      <c r="BC44" s="13" t="n">
        <f aca="false">SUMIF($D$4:$AS$4, BC$4,$D44:$AS44)</f>
        <v>7939920</v>
      </c>
      <c r="BD44" s="13"/>
      <c r="BE44" s="13" t="n">
        <f aca="false">SUM(D44:AS44)</f>
        <v>39047889</v>
      </c>
    </row>
    <row r="45" customFormat="false" ht="12.75" hidden="false" customHeight="true" outlineLevel="0" collapsed="false">
      <c r="A45" s="1" t="s">
        <v>51</v>
      </c>
      <c r="B45" s="1" t="n">
        <v>2024</v>
      </c>
      <c r="C45" s="1" t="s">
        <v>53</v>
      </c>
      <c r="D45" s="14" t="n">
        <f aca="false">558761+627871</f>
        <v>1186632</v>
      </c>
      <c r="E45" s="14" t="n">
        <v>569839</v>
      </c>
      <c r="F45" s="14" t="n">
        <v>912911</v>
      </c>
      <c r="G45" s="14" t="n">
        <f aca="false">361490+309595</f>
        <v>671085</v>
      </c>
      <c r="H45" s="14" t="n">
        <f aca="false">445473+594078</f>
        <v>1039551</v>
      </c>
      <c r="I45" s="14" t="n">
        <f aca="false">328185+1477679</f>
        <v>1805864</v>
      </c>
      <c r="J45" s="14" t="n">
        <f aca="false">566641+1069356</f>
        <v>1635997</v>
      </c>
      <c r="K45" s="14" t="n">
        <v>613</v>
      </c>
      <c r="L45" s="14"/>
      <c r="M45" s="14"/>
      <c r="N45" s="14"/>
      <c r="O45" s="14" t="n">
        <f aca="false">349611+1175701</f>
        <v>1525312</v>
      </c>
      <c r="P45" s="14" t="n">
        <f aca="false">296479+256010</f>
        <v>552489</v>
      </c>
      <c r="Q45" s="14" t="n">
        <f aca="false">240287+1583366</f>
        <v>1823653</v>
      </c>
      <c r="R45" s="14"/>
      <c r="S45" s="14" t="n">
        <v>524363</v>
      </c>
      <c r="T45" s="14" t="n">
        <f aca="false">455431+130549</f>
        <v>585980</v>
      </c>
      <c r="U45" s="14" t="n">
        <f aca="false">477720</f>
        <v>477720</v>
      </c>
      <c r="V45" s="14" t="n">
        <v>261385</v>
      </c>
      <c r="W45" s="14" t="n">
        <f aca="false">104261+29160</f>
        <v>133421</v>
      </c>
      <c r="X45" s="14"/>
      <c r="Y45" s="14"/>
      <c r="Z45" s="14"/>
      <c r="AA45" s="14" t="n">
        <v>290932</v>
      </c>
      <c r="AB45" s="14"/>
      <c r="AC45" s="14"/>
      <c r="AD45" s="14" t="n">
        <v>1892223</v>
      </c>
      <c r="AE45" s="14" t="n">
        <v>1408951</v>
      </c>
      <c r="AF45" s="14" t="n">
        <v>1280516</v>
      </c>
      <c r="AG45" s="14" t="n">
        <v>1095249</v>
      </c>
      <c r="AH45" s="14" t="n">
        <v>2426031</v>
      </c>
      <c r="AI45" s="14" t="n">
        <v>1412437</v>
      </c>
      <c r="AJ45" s="14"/>
      <c r="AK45" s="14"/>
      <c r="AL45" s="14" t="n">
        <v>1221529</v>
      </c>
      <c r="AM45" s="14" t="n">
        <v>0</v>
      </c>
      <c r="AN45" s="14" t="n">
        <f aca="false">1404741+351185</f>
        <v>1755926</v>
      </c>
      <c r="AO45" s="14" t="n">
        <f aca="false">1042189+1935495</f>
        <v>2977684</v>
      </c>
      <c r="AP45" s="14" t="n">
        <v>1442004</v>
      </c>
      <c r="AQ45" s="14" t="n">
        <v>756144</v>
      </c>
      <c r="AR45" s="14" t="n">
        <f aca="false">226643+906572</f>
        <v>1133215</v>
      </c>
      <c r="AS45" s="14"/>
      <c r="AT45" s="14"/>
      <c r="AU45" s="14"/>
      <c r="AV45" s="14"/>
      <c r="AW45" s="14"/>
      <c r="AX45" s="14"/>
      <c r="AY45" s="14" t="n">
        <f aca="false">SUMIF($D$4:$AS$4, AY$4,$D45:$AS45)</f>
        <v>9286502</v>
      </c>
      <c r="AZ45" s="14" t="n">
        <f aca="false">SUMIF($D$4:$AS$4, AZ$4,$D45:$AS45)</f>
        <v>7822492</v>
      </c>
      <c r="BA45" s="14" t="n">
        <f aca="false">SUMIF($D$4:$AS$4, BA$4,$D45:$AS45)</f>
        <v>5884323</v>
      </c>
      <c r="BB45" s="14" t="n">
        <f aca="false">SUMIF($D$4:$AS$4, BB$4,$D45:$AS45)</f>
        <v>290932</v>
      </c>
      <c r="BC45" s="14" t="n">
        <f aca="false">SUMIF($D$4:$AS$4, BC$4,$D45:$AS45)</f>
        <v>9515407</v>
      </c>
      <c r="BD45" s="14"/>
      <c r="BE45" s="14" t="n">
        <f aca="false">SUM(D45:AS45)</f>
        <v>32799656</v>
      </c>
    </row>
    <row r="46" customFormat="false" ht="12.75" hidden="false" customHeight="true" outlineLevel="0" collapsed="false">
      <c r="A46" s="1" t="s">
        <v>54</v>
      </c>
      <c r="B46" s="1" t="n">
        <v>2024</v>
      </c>
      <c r="C46" s="1" t="s">
        <v>52</v>
      </c>
      <c r="D46" s="14" t="n">
        <f aca="false">101120+70614</f>
        <v>171734</v>
      </c>
      <c r="E46" s="14"/>
      <c r="F46" s="14"/>
      <c r="G46" s="14" t="n">
        <f aca="false">300000+317551</f>
        <v>617551</v>
      </c>
      <c r="H46" s="14" t="n">
        <f aca="false">300000+364596</f>
        <v>664596</v>
      </c>
      <c r="I46" s="14" t="n">
        <f aca="false">446875+390000</f>
        <v>836875</v>
      </c>
      <c r="J46" s="14" t="n">
        <v>530400</v>
      </c>
      <c r="K46" s="14"/>
      <c r="L46" s="14" t="n">
        <v>161760</v>
      </c>
      <c r="M46" s="14"/>
      <c r="N46" s="14"/>
      <c r="O46" s="14" t="n">
        <v>320000</v>
      </c>
      <c r="P46" s="14" t="n">
        <f aca="false">353415+353415</f>
        <v>706830</v>
      </c>
      <c r="Q46" s="14" t="n">
        <v>403563</v>
      </c>
      <c r="R46" s="14"/>
      <c r="S46" s="14" t="n">
        <f aca="false">261629+217571</f>
        <v>479200</v>
      </c>
      <c r="T46" s="14" t="n">
        <f aca="false">177639+191850</f>
        <v>369489</v>
      </c>
      <c r="U46" s="14" t="n">
        <f aca="false">300210+197179</f>
        <v>497389</v>
      </c>
      <c r="V46" s="14" t="n">
        <f aca="false">277117+184745</f>
        <v>461862</v>
      </c>
      <c r="W46" s="14" t="n">
        <f aca="false">324000+552420</f>
        <v>876420</v>
      </c>
      <c r="X46" s="14"/>
      <c r="Y46" s="14"/>
      <c r="Z46" s="14"/>
      <c r="AA46" s="14" t="n">
        <v>117805</v>
      </c>
      <c r="AB46" s="14" t="n">
        <v>158452</v>
      </c>
      <c r="AC46" s="14"/>
      <c r="AD46" s="14" t="n">
        <v>263163</v>
      </c>
      <c r="AE46" s="14" t="n">
        <v>223600</v>
      </c>
      <c r="AF46" s="14" t="n">
        <v>348921</v>
      </c>
      <c r="AG46" s="14" t="n">
        <f aca="false">210000+460500</f>
        <v>670500</v>
      </c>
      <c r="AH46" s="14" t="n">
        <v>875400</v>
      </c>
      <c r="AI46" s="14" t="n">
        <v>683910</v>
      </c>
      <c r="AJ46" s="14"/>
      <c r="AK46" s="14"/>
      <c r="AL46" s="14" t="n">
        <v>154800</v>
      </c>
      <c r="AM46" s="14" t="n">
        <v>320000</v>
      </c>
      <c r="AN46" s="14" t="n">
        <f aca="false">190151+125267</f>
        <v>315418</v>
      </c>
      <c r="AO46" s="14" t="n">
        <f aca="false">371429</f>
        <v>371429</v>
      </c>
      <c r="AP46" s="14" t="n">
        <v>181500</v>
      </c>
      <c r="AQ46" s="14" t="n">
        <v>137700</v>
      </c>
      <c r="AR46" s="14" t="n">
        <f aca="false">297143+198095</f>
        <v>495238</v>
      </c>
      <c r="AS46" s="14"/>
      <c r="AT46" s="14"/>
      <c r="AU46" s="14"/>
      <c r="AV46" s="14"/>
      <c r="AW46" s="14"/>
      <c r="AX46" s="14"/>
      <c r="AY46" s="14" t="n">
        <f aca="false">SUMIF($D$4:$AS$4, AY$4,$D46:$AS46)</f>
        <v>1976085</v>
      </c>
      <c r="AZ46" s="14" t="n">
        <f aca="false">SUMIF($D$4:$AS$4, AZ$4,$D46:$AS46)</f>
        <v>2982916</v>
      </c>
      <c r="BA46" s="14" t="n">
        <f aca="false">SUMIF($D$4:$AS$4, BA$4,$D46:$AS46)</f>
        <v>4114753</v>
      </c>
      <c r="BB46" s="14" t="n">
        <f aca="false">SUMIF($D$4:$AS$4, BB$4,$D46:$AS46)</f>
        <v>276257</v>
      </c>
      <c r="BC46" s="14" t="n">
        <f aca="false">SUMIF($D$4:$AS$4, BC$4,$D46:$AS46)</f>
        <v>3065494</v>
      </c>
      <c r="BD46" s="14"/>
      <c r="BE46" s="14" t="n">
        <f aca="false">SUM(D46:AS46)</f>
        <v>12415505</v>
      </c>
    </row>
    <row r="47" customFormat="false" ht="12.75" hidden="false" customHeight="true" outlineLevel="0" collapsed="false">
      <c r="A47" s="1" t="s">
        <v>54</v>
      </c>
      <c r="B47" s="1" t="n">
        <v>2024</v>
      </c>
      <c r="C47" s="1" t="s">
        <v>53</v>
      </c>
      <c r="D47" s="14" t="n">
        <f aca="false">180502+180169</f>
        <v>360671</v>
      </c>
      <c r="E47" s="14"/>
      <c r="F47" s="14"/>
      <c r="G47" s="14" t="n">
        <f aca="false">427972+320209</f>
        <v>748181</v>
      </c>
      <c r="H47" s="14" t="n">
        <f aca="false">725265+227956</f>
        <v>953221</v>
      </c>
      <c r="I47" s="14" t="n">
        <f aca="false">450724+353534</f>
        <v>804258</v>
      </c>
      <c r="J47" s="14" t="n">
        <v>525236</v>
      </c>
      <c r="K47" s="14"/>
      <c r="L47" s="14"/>
      <c r="M47" s="14"/>
      <c r="N47" s="14"/>
      <c r="O47" s="14" t="n">
        <v>32143</v>
      </c>
      <c r="P47" s="14" t="n">
        <f aca="false">235628+238952</f>
        <v>474580</v>
      </c>
      <c r="Q47" s="14" t="n">
        <v>414887</v>
      </c>
      <c r="R47" s="14"/>
      <c r="S47" s="14" t="n">
        <f aca="false">278342+170660</f>
        <v>449002</v>
      </c>
      <c r="T47" s="14" t="n">
        <f aca="false">80047+108813</f>
        <v>188860</v>
      </c>
      <c r="U47" s="14" t="n">
        <f aca="false">343165</f>
        <v>343165</v>
      </c>
      <c r="V47" s="14"/>
      <c r="W47" s="14" t="n">
        <f aca="false">86448+7215</f>
        <v>93663</v>
      </c>
      <c r="X47" s="14"/>
      <c r="Y47" s="14"/>
      <c r="Z47" s="14"/>
      <c r="AA47" s="14" t="n">
        <v>223629</v>
      </c>
      <c r="AB47" s="14" t="n">
        <v>60546</v>
      </c>
      <c r="AC47" s="14"/>
      <c r="AD47" s="14" t="n">
        <v>575970</v>
      </c>
      <c r="AE47" s="14" t="n">
        <v>724544</v>
      </c>
      <c r="AF47" s="14" t="n">
        <v>353321</v>
      </c>
      <c r="AG47" s="14" t="n">
        <v>738255</v>
      </c>
      <c r="AH47" s="14" t="n">
        <v>887474</v>
      </c>
      <c r="AI47" s="14" t="n">
        <v>711530</v>
      </c>
      <c r="AJ47" s="14"/>
      <c r="AK47" s="14"/>
      <c r="AL47" s="14" t="n">
        <v>201487</v>
      </c>
      <c r="AM47" s="14" t="n">
        <v>77024</v>
      </c>
      <c r="AN47" s="14" t="n">
        <v>0</v>
      </c>
      <c r="AO47" s="14"/>
      <c r="AP47" s="14" t="n">
        <v>50904</v>
      </c>
      <c r="AQ47" s="14" t="n">
        <v>0</v>
      </c>
      <c r="AR47" s="14" t="n">
        <f aca="false">501094</f>
        <v>501094</v>
      </c>
      <c r="AS47" s="14"/>
      <c r="AT47" s="14"/>
      <c r="AU47" s="14"/>
      <c r="AV47" s="14"/>
      <c r="AW47" s="14"/>
      <c r="AX47" s="14"/>
      <c r="AY47" s="14" t="n">
        <f aca="false">SUMIF($D$4:$AS$4, AY$4,$D47:$AS47)</f>
        <v>830509</v>
      </c>
      <c r="AZ47" s="14" t="n">
        <f aca="false">SUMIF($D$4:$AS$4, AZ$4,$D47:$AS47)</f>
        <v>3391567</v>
      </c>
      <c r="BA47" s="14" t="n">
        <f aca="false">SUMIF($D$4:$AS$4, BA$4,$D47:$AS47)</f>
        <v>1996300</v>
      </c>
      <c r="BB47" s="14" t="n">
        <f aca="false">SUMIF($D$4:$AS$4, BB$4,$D47:$AS47)</f>
        <v>284175</v>
      </c>
      <c r="BC47" s="14" t="n">
        <f aca="false">SUMIF($D$4:$AS$4, BC$4,$D47:$AS47)</f>
        <v>3991094</v>
      </c>
      <c r="BD47" s="14"/>
      <c r="BE47" s="14" t="n">
        <f aca="false">SUM(D47:AS47)</f>
        <v>10493645</v>
      </c>
    </row>
    <row r="48" customFormat="false" ht="12.75" hidden="false" customHeight="true" outlineLevel="0" collapsed="false">
      <c r="A48" s="1" t="s">
        <v>55</v>
      </c>
      <c r="B48" s="1" t="n">
        <v>2024</v>
      </c>
      <c r="C48" s="1" t="s">
        <v>52</v>
      </c>
      <c r="D48" s="14" t="n">
        <f aca="false">244632+342485+231585</f>
        <v>818702</v>
      </c>
      <c r="E48" s="14" t="n">
        <v>459568</v>
      </c>
      <c r="F48" s="14" t="n">
        <f aca="false">293211+153317</f>
        <v>446528</v>
      </c>
      <c r="G48" s="14" t="n">
        <f aca="false">265802+150543+274662</f>
        <v>691007</v>
      </c>
      <c r="H48" s="14" t="n">
        <f aca="false">265802+150543+274663</f>
        <v>691008</v>
      </c>
      <c r="I48" s="14" t="n">
        <f aca="false">291049+105380+305602+221298+345119</f>
        <v>1268448</v>
      </c>
      <c r="J48" s="14" t="n">
        <f aca="false">407469+105380+305602+345119</f>
        <v>1163570</v>
      </c>
      <c r="K48" s="14" t="n">
        <f aca="false">283680+252160</f>
        <v>535840</v>
      </c>
      <c r="L48" s="14" t="n">
        <f aca="false">218880+159030+246240</f>
        <v>624150</v>
      </c>
      <c r="M48" s="14"/>
      <c r="N48" s="14"/>
      <c r="O48" s="14" t="n">
        <f aca="false">116646+94069+376480+101400</f>
        <v>688595</v>
      </c>
      <c r="P48" s="14" t="n">
        <f aca="false">146628+146628+293256+38785+138557</f>
        <v>763854</v>
      </c>
      <c r="Q48" s="14" t="n">
        <f aca="false">186271+610372+332320</f>
        <v>1128963</v>
      </c>
      <c r="R48" s="14" t="n">
        <f aca="false">340922+75580</f>
        <v>416502</v>
      </c>
      <c r="S48" s="14" t="n">
        <f aca="false">144174+186675+311397+194339</f>
        <v>836585</v>
      </c>
      <c r="T48" s="14" t="n">
        <f aca="false">153270+136890+140170+250380</f>
        <v>680710</v>
      </c>
      <c r="U48" s="14" t="n">
        <f aca="false">188640+269100+125760+179010</f>
        <v>762510</v>
      </c>
      <c r="V48" s="14" t="n">
        <f aca="false">127070+331110+117300+83840+221130+78200</f>
        <v>958650</v>
      </c>
      <c r="W48" s="14" t="n">
        <f aca="false">471040+339840+906240</f>
        <v>1717120</v>
      </c>
      <c r="X48" s="14"/>
      <c r="Y48" s="14"/>
      <c r="Z48" s="14"/>
      <c r="AA48" s="14" t="n">
        <f aca="false">155085+116314</f>
        <v>271399</v>
      </c>
      <c r="AB48" s="14" t="n">
        <v>190978</v>
      </c>
      <c r="AC48" s="14"/>
      <c r="AD48" s="14" t="n">
        <v>1039329</v>
      </c>
      <c r="AE48" s="14" t="n">
        <v>778466</v>
      </c>
      <c r="AF48" s="14" t="n">
        <f aca="false">523742+243630</f>
        <v>767372</v>
      </c>
      <c r="AG48" s="14" t="n">
        <f aca="false">1339050+128000</f>
        <v>1467050</v>
      </c>
      <c r="AH48" s="14" t="n">
        <f aca="false">1732800+129000</f>
        <v>1861800</v>
      </c>
      <c r="AI48" s="14" t="n">
        <f aca="false">1362004+129347</f>
        <v>1491351</v>
      </c>
      <c r="AJ48" s="14"/>
      <c r="AK48" s="14"/>
      <c r="AL48" s="14" t="n">
        <v>604240</v>
      </c>
      <c r="AM48" s="14" t="n">
        <f aca="false">524631+262316</f>
        <v>786947</v>
      </c>
      <c r="AN48" s="14" t="n">
        <f aca="false">589808+361764+108673</f>
        <v>1060245</v>
      </c>
      <c r="AO48" s="14" t="n">
        <f aca="false">1092282+673961+113613</f>
        <v>1879856</v>
      </c>
      <c r="AP48" s="14" t="n">
        <f aca="false">389850+511890</f>
        <v>901740</v>
      </c>
      <c r="AQ48" s="14" t="n">
        <f aca="false">649800+387600+110400</f>
        <v>1147800</v>
      </c>
      <c r="AR48" s="14" t="n">
        <f aca="false">656084+343238+113613</f>
        <v>1112935</v>
      </c>
      <c r="AS48" s="14" t="n">
        <f aca="false">485120+169920</f>
        <v>655040</v>
      </c>
      <c r="AT48" s="14"/>
      <c r="AU48" s="14"/>
      <c r="AV48" s="14"/>
      <c r="AW48" s="14"/>
      <c r="AX48" s="14"/>
      <c r="AY48" s="14" t="n">
        <f aca="false">SUMIF($D$4:$AS$4, AY$4,$D48:$AS48)</f>
        <v>8148803</v>
      </c>
      <c r="AZ48" s="14" t="n">
        <f aca="false">SUMIF($D$4:$AS$4, AZ$4,$D48:$AS48)</f>
        <v>6698821</v>
      </c>
      <c r="BA48" s="14" t="n">
        <f aca="false">SUMIF($D$4:$AS$4, BA$4,$D48:$AS48)</f>
        <v>7953489</v>
      </c>
      <c r="BB48" s="14" t="n">
        <f aca="false">SUMIF($D$4:$AS$4, BB$4,$D48:$AS48)</f>
        <v>462377</v>
      </c>
      <c r="BC48" s="14" t="n">
        <f aca="false">SUMIF($D$4:$AS$4, BC$4,$D48:$AS48)</f>
        <v>7405368</v>
      </c>
      <c r="BD48" s="14"/>
      <c r="BE48" s="14" t="n">
        <f aca="false">SUM(D48:AS48)</f>
        <v>30668858</v>
      </c>
    </row>
    <row r="49" customFormat="false" ht="12.75" hidden="false" customHeight="true" outlineLevel="0" collapsed="false">
      <c r="A49" s="1" t="s">
        <v>55</v>
      </c>
      <c r="B49" s="1" t="n">
        <v>2024</v>
      </c>
      <c r="C49" s="1" t="s">
        <v>53</v>
      </c>
      <c r="D49" s="14" t="n">
        <f aca="false">395905+722619+323311</f>
        <v>1441835</v>
      </c>
      <c r="E49" s="14" t="n">
        <v>831463</v>
      </c>
      <c r="F49" s="14" t="n">
        <f aca="false">1092667+159209</f>
        <v>1251876</v>
      </c>
      <c r="G49" s="14" t="n">
        <f aca="false">289889+310197+630315</f>
        <v>1230401</v>
      </c>
      <c r="H49" s="14" t="n">
        <f aca="false">409939+267508+509048</f>
        <v>1186495</v>
      </c>
      <c r="I49" s="14" t="n">
        <f aca="false">364854+117278+808764+295230+383092</f>
        <v>1969218</v>
      </c>
      <c r="J49" s="14" t="n">
        <f aca="false">119083+119311+1170935+370537</f>
        <v>1779866</v>
      </c>
      <c r="K49" s="14" t="n">
        <f aca="false">49338+51725</f>
        <v>101063</v>
      </c>
      <c r="L49" s="14" t="n">
        <f aca="false">18864+13250+28232</f>
        <v>60346</v>
      </c>
      <c r="M49" s="14"/>
      <c r="N49" s="14"/>
      <c r="O49" s="14" t="n">
        <f aca="false">10697+4175+972429+212958</f>
        <v>1200259</v>
      </c>
      <c r="P49" s="14" t="n">
        <f aca="false">325824+419793+209897+839587</f>
        <v>1795101</v>
      </c>
      <c r="Q49" s="14" t="n">
        <f aca="false">297817+1064112+567993</f>
        <v>1929922</v>
      </c>
      <c r="R49" s="14" t="n">
        <f aca="false">414234+63483</f>
        <v>477717</v>
      </c>
      <c r="S49" s="14" t="n">
        <f aca="false">19787+29442+734580+493677</f>
        <v>1277486</v>
      </c>
      <c r="T49" s="14" t="n">
        <f aca="false">11518+20600+287367+513975</f>
        <v>833460</v>
      </c>
      <c r="U49" s="14" t="n">
        <f aca="false">263695+744951</f>
        <v>1008646</v>
      </c>
      <c r="V49" s="14" t="n">
        <f aca="false">417034+637410</f>
        <v>1054444</v>
      </c>
      <c r="W49" s="14" t="n">
        <f aca="false">296861+124811+374432</f>
        <v>796104</v>
      </c>
      <c r="X49" s="14"/>
      <c r="Y49" s="14"/>
      <c r="Z49" s="14"/>
      <c r="AA49" s="14" t="n">
        <f aca="false">249234+172217</f>
        <v>421451</v>
      </c>
      <c r="AB49" s="14" t="n">
        <v>502185</v>
      </c>
      <c r="AC49" s="14"/>
      <c r="AD49" s="14" t="n">
        <v>1115797</v>
      </c>
      <c r="AE49" s="14" t="n">
        <v>1337024</v>
      </c>
      <c r="AF49" s="14" t="n">
        <f aca="false">516879+255000</f>
        <v>771879</v>
      </c>
      <c r="AG49" s="14" t="n">
        <f aca="false">1354914+170483</f>
        <v>1525397</v>
      </c>
      <c r="AH49" s="14" t="n">
        <f aca="false">1584168+136174</f>
        <v>1720342</v>
      </c>
      <c r="AI49" s="14" t="n">
        <f aca="false">1410435+166289</f>
        <v>1576724</v>
      </c>
      <c r="AJ49" s="14"/>
      <c r="AK49" s="14"/>
      <c r="AL49" s="14" t="n">
        <v>784767</v>
      </c>
      <c r="AM49" s="14" t="n">
        <f aca="false">349812</f>
        <v>349812</v>
      </c>
      <c r="AN49" s="14" t="n">
        <f aca="false">790702+263567+73041</f>
        <v>1127310</v>
      </c>
      <c r="AO49" s="14" t="n">
        <f aca="false">246241+1649023+105643</f>
        <v>2000907</v>
      </c>
      <c r="AP49" s="14" t="n">
        <f aca="false">261236+1044942</f>
        <v>1306178</v>
      </c>
      <c r="AQ49" s="14" t="n">
        <f aca="false">1306314+82661</f>
        <v>1388975</v>
      </c>
      <c r="AR49" s="14" t="n">
        <f aca="false">296517+1186068+114381</f>
        <v>1596966</v>
      </c>
      <c r="AS49" s="14" t="n">
        <f aca="false">58721+143236</f>
        <v>201957</v>
      </c>
      <c r="AT49" s="14"/>
      <c r="AU49" s="14"/>
      <c r="AV49" s="14"/>
      <c r="AW49" s="14"/>
      <c r="AX49" s="14"/>
      <c r="AY49" s="14" t="n">
        <f aca="false">SUMIF($D$4:$AS$4, AY$4,$D49:$AS49)</f>
        <v>8756872</v>
      </c>
      <c r="AZ49" s="14" t="n">
        <f aca="false">SUMIF($D$4:$AS$4, AZ$4,$D49:$AS49)</f>
        <v>9852563</v>
      </c>
      <c r="BA49" s="14" t="n">
        <f aca="false">SUMIF($D$4:$AS$4, BA$4,$D49:$AS49)</f>
        <v>10373139</v>
      </c>
      <c r="BB49" s="14" t="n">
        <f aca="false">SUMIF($D$4:$AS$4, BB$4,$D49:$AS49)</f>
        <v>923636</v>
      </c>
      <c r="BC49" s="14" t="n">
        <f aca="false">SUMIF($D$4:$AS$4, BC$4,$D49:$AS49)</f>
        <v>8047163</v>
      </c>
      <c r="BD49" s="14"/>
      <c r="BE49" s="14" t="n">
        <f aca="false">SUM(D49:AS49)</f>
        <v>37953373</v>
      </c>
    </row>
    <row r="50" customFormat="false" ht="12.75" hidden="false" customHeight="true" outlineLevel="0" collapsed="false">
      <c r="A50" s="1" t="s">
        <v>72</v>
      </c>
      <c r="B50" s="1" t="n">
        <v>2024</v>
      </c>
      <c r="C50" s="1" t="s">
        <v>52</v>
      </c>
      <c r="D50" s="14" t="n">
        <f aca="false">99000+99000</f>
        <v>198000</v>
      </c>
      <c r="E50" s="14" t="n">
        <f aca="false">182447+182447</f>
        <v>364894</v>
      </c>
      <c r="F50" s="14" t="n">
        <f aca="false">123353+185705</f>
        <v>309058</v>
      </c>
      <c r="G50" s="14" t="n">
        <f aca="false">84000+105000+24698</f>
        <v>213698</v>
      </c>
      <c r="H50" s="14" t="n">
        <f aca="false">84000+105000+24698</f>
        <v>213698</v>
      </c>
      <c r="I50" s="14" t="n">
        <f aca="false">110933+118400</f>
        <v>229333</v>
      </c>
      <c r="J50" s="14" t="n">
        <f aca="false">243691+194133</f>
        <v>437824</v>
      </c>
      <c r="K50" s="14"/>
      <c r="L50" s="14"/>
      <c r="M50" s="14"/>
      <c r="N50" s="14"/>
      <c r="O50" s="14" t="n">
        <f aca="false">119396+128700</f>
        <v>248096</v>
      </c>
      <c r="P50" s="14" t="n">
        <f aca="false">138557+137211+333612+137211</f>
        <v>746591</v>
      </c>
      <c r="Q50" s="14" t="n">
        <f aca="false">243559</f>
        <v>243559</v>
      </c>
      <c r="R50" s="14" t="n">
        <f aca="false">287160</f>
        <v>287160</v>
      </c>
      <c r="S50" s="14" t="n">
        <f aca="false">76552+150187</f>
        <v>226739</v>
      </c>
      <c r="T50" s="14" t="n">
        <f aca="false">161786+56416+58556</f>
        <v>276758</v>
      </c>
      <c r="U50" s="14" t="n">
        <f aca="false">142080+23200+108780+17600</f>
        <v>291660</v>
      </c>
      <c r="V50" s="14" t="n">
        <f aca="false">66000+48000+51060+36800</f>
        <v>201860</v>
      </c>
      <c r="W50" s="14" t="n">
        <f aca="false">130227+287920</f>
        <v>418147</v>
      </c>
      <c r="X50" s="14"/>
      <c r="Y50" s="14"/>
      <c r="Z50" s="14"/>
      <c r="AA50" s="14" t="n">
        <f aca="false">63935+37201</f>
        <v>101136</v>
      </c>
      <c r="AB50" s="14"/>
      <c r="AC50" s="14"/>
      <c r="AD50" s="14" t="n">
        <v>329787</v>
      </c>
      <c r="AE50" s="14" t="n">
        <v>204000</v>
      </c>
      <c r="AF50" s="14" t="n">
        <v>153000</v>
      </c>
      <c r="AG50" s="14" t="n">
        <v>179850</v>
      </c>
      <c r="AH50" s="14" t="n">
        <f aca="false">121200+185300</f>
        <v>306500</v>
      </c>
      <c r="AI50" s="14" t="n">
        <v>166751</v>
      </c>
      <c r="AJ50" s="14"/>
      <c r="AK50" s="14"/>
      <c r="AL50" s="14" t="n">
        <v>524300</v>
      </c>
      <c r="AM50" s="14" t="n">
        <f aca="false">329576+166470</f>
        <v>496046</v>
      </c>
      <c r="AN50" s="14" t="n">
        <f aca="false">242045</f>
        <v>242045</v>
      </c>
      <c r="AO50" s="14" t="n">
        <f aca="false">128197+465648</f>
        <v>593845</v>
      </c>
      <c r="AP50" s="14" t="n">
        <f aca="false">76650+242550</f>
        <v>319200</v>
      </c>
      <c r="AQ50" s="14" t="n">
        <f aca="false">70700+464600</f>
        <v>535300</v>
      </c>
      <c r="AR50" s="14" t="n">
        <f aca="false">128197+232824</f>
        <v>361021</v>
      </c>
      <c r="AS50" s="14" t="n">
        <f aca="false">143960+148200</f>
        <v>292160</v>
      </c>
      <c r="AT50" s="14"/>
      <c r="AU50" s="14"/>
      <c r="AV50" s="14"/>
      <c r="AW50" s="14"/>
      <c r="AX50" s="14"/>
      <c r="AY50" s="14" t="n">
        <f aca="false">SUMIF($D$4:$AS$4, AY$4,$D50:$AS50)</f>
        <v>3363917</v>
      </c>
      <c r="AZ50" s="14" t="n">
        <f aca="false">SUMIF($D$4:$AS$4, AZ$4,$D50:$AS50)</f>
        <v>1966505</v>
      </c>
      <c r="BA50" s="14" t="n">
        <f aca="false">SUMIF($D$4:$AS$4, BA$4,$D50:$AS50)</f>
        <v>2940570</v>
      </c>
      <c r="BB50" s="14" t="n">
        <f aca="false">SUMIF($D$4:$AS$4, BB$4,$D50:$AS50)</f>
        <v>101136</v>
      </c>
      <c r="BC50" s="14" t="n">
        <f aca="false">SUMIF($D$4:$AS$4, BC$4,$D50:$AS50)</f>
        <v>1339888</v>
      </c>
      <c r="BD50" s="14"/>
      <c r="BE50" s="14" t="n">
        <f aca="false">SUM(D50:AS50)</f>
        <v>9712016</v>
      </c>
    </row>
    <row r="51" customFormat="false" ht="12.75" hidden="false" customHeight="true" outlineLevel="0" collapsed="false">
      <c r="A51" s="1" t="s">
        <v>72</v>
      </c>
      <c r="B51" s="1" t="n">
        <v>2024</v>
      </c>
      <c r="C51" s="1" t="s">
        <v>53</v>
      </c>
      <c r="D51" s="14" t="n">
        <f aca="false">115265+90189</f>
        <v>205454</v>
      </c>
      <c r="E51" s="14" t="n">
        <f aca="false">206562+116938</f>
        <v>323500</v>
      </c>
      <c r="F51" s="14" t="n">
        <f aca="false">130841+91910</f>
        <v>222751</v>
      </c>
      <c r="G51" s="14" t="n">
        <f aca="false">160242+120818+21325</f>
        <v>302385</v>
      </c>
      <c r="H51" s="14" t="n">
        <f aca="false">30677+118576</f>
        <v>149253</v>
      </c>
      <c r="I51" s="14" t="n">
        <f aca="false">94499+115764</f>
        <v>210263</v>
      </c>
      <c r="J51" s="14" t="n">
        <f aca="false">276418+105095</f>
        <v>381513</v>
      </c>
      <c r="K51" s="14"/>
      <c r="L51" s="14"/>
      <c r="M51" s="14"/>
      <c r="N51" s="14"/>
      <c r="O51" s="14" t="n">
        <f aca="false">12515+209795</f>
        <v>222310</v>
      </c>
      <c r="P51" s="14" t="n">
        <f aca="false">200023+198225+85068+78017</f>
        <v>561333</v>
      </c>
      <c r="Q51" s="14" t="n">
        <v>257403</v>
      </c>
      <c r="R51" s="14" t="n">
        <v>215075</v>
      </c>
      <c r="S51" s="14" t="n">
        <f aca="false">155151</f>
        <v>155151</v>
      </c>
      <c r="T51" s="14" t="n">
        <f aca="false">2921+165504</f>
        <v>168425</v>
      </c>
      <c r="U51" s="14" t="n">
        <f aca="false">84057+64082</f>
        <v>148139</v>
      </c>
      <c r="V51" s="14" t="n">
        <f aca="false">62927</f>
        <v>62927</v>
      </c>
      <c r="W51" s="14" t="n">
        <f aca="false">28038+86722</f>
        <v>114760</v>
      </c>
      <c r="X51" s="14"/>
      <c r="Y51" s="14"/>
      <c r="Z51" s="14"/>
      <c r="AA51" s="14" t="n">
        <v>122738</v>
      </c>
      <c r="AB51" s="14"/>
      <c r="AC51" s="14"/>
      <c r="AD51" s="14" t="n">
        <v>0</v>
      </c>
      <c r="AE51" s="14" t="n">
        <v>139720</v>
      </c>
      <c r="AF51" s="14" t="n">
        <v>132723</v>
      </c>
      <c r="AG51" s="14" t="n">
        <v>97195</v>
      </c>
      <c r="AH51" s="14" t="n">
        <v>220601</v>
      </c>
      <c r="AI51" s="14" t="n">
        <v>115521</v>
      </c>
      <c r="AJ51" s="14"/>
      <c r="AK51" s="14"/>
      <c r="AL51" s="14" t="n">
        <v>214568</v>
      </c>
      <c r="AM51" s="14" t="n">
        <f aca="false">240468+122944</f>
        <v>363412</v>
      </c>
      <c r="AN51" s="14" t="n">
        <v>170386</v>
      </c>
      <c r="AO51" s="14" t="n">
        <f aca="false">282474+239322</f>
        <v>521796</v>
      </c>
      <c r="AP51" s="14" t="n">
        <f aca="false">44383+187804</f>
        <v>232187</v>
      </c>
      <c r="AQ51" s="14" t="n">
        <f aca="false">362480+158447</f>
        <v>520927</v>
      </c>
      <c r="AR51" s="14" t="n">
        <f aca="false">117915+217462</f>
        <v>335377</v>
      </c>
      <c r="AS51" s="14" t="n">
        <f aca="false">30547</f>
        <v>30547</v>
      </c>
      <c r="AT51" s="14"/>
      <c r="AU51" s="14"/>
      <c r="AV51" s="14"/>
      <c r="AW51" s="14"/>
      <c r="AX51" s="14"/>
      <c r="AY51" s="14" t="n">
        <f aca="false">SUMIF($D$4:$AS$4, AY$4,$D51:$AS51)</f>
        <v>2389200</v>
      </c>
      <c r="AZ51" s="14" t="n">
        <f aca="false">SUMIF($D$4:$AS$4, AZ$4,$D51:$AS51)</f>
        <v>1795119</v>
      </c>
      <c r="BA51" s="14" t="n">
        <f aca="false">SUMIF($D$4:$AS$4, BA$4,$D51:$AS51)</f>
        <v>1905523</v>
      </c>
      <c r="BB51" s="14" t="n">
        <f aca="false">SUMIF($D$4:$AS$4, BB$4,$D51:$AS51)</f>
        <v>122738</v>
      </c>
      <c r="BC51" s="14" t="n">
        <f aca="false">SUMIF($D$4:$AS$4, BC$4,$D51:$AS51)</f>
        <v>705760</v>
      </c>
      <c r="BD51" s="14"/>
      <c r="BE51" s="14" t="n">
        <f aca="false">SUM(D51:AS51)</f>
        <v>6918340</v>
      </c>
    </row>
    <row r="52" customFormat="false" ht="12.75" hidden="false" customHeight="true" outlineLevel="0" collapsed="false">
      <c r="A52" s="1" t="s">
        <v>57</v>
      </c>
      <c r="B52" s="1" t="n">
        <v>2024</v>
      </c>
      <c r="C52" s="1" t="s">
        <v>52</v>
      </c>
      <c r="D52" s="14" t="n">
        <v>2920</v>
      </c>
      <c r="E52" s="14"/>
      <c r="F52" s="14"/>
      <c r="G52" s="14" t="n">
        <f aca="false">107000</f>
        <v>107000</v>
      </c>
      <c r="H52" s="14"/>
      <c r="I52" s="14" t="n">
        <f aca="false">54500+57500</f>
        <v>112000</v>
      </c>
      <c r="J52" s="14"/>
      <c r="K52" s="14"/>
      <c r="L52" s="14"/>
      <c r="M52" s="14"/>
      <c r="N52" s="14"/>
      <c r="O52" s="14" t="n">
        <f aca="false">109917+24245+117600+29400</f>
        <v>281162</v>
      </c>
      <c r="P52" s="14"/>
      <c r="Q52" s="14" t="n">
        <f aca="false">241172+125330</f>
        <v>366502</v>
      </c>
      <c r="R52" s="14" t="n">
        <v>276622</v>
      </c>
      <c r="S52" s="14" t="n">
        <f aca="false">507500+144676</f>
        <v>652176</v>
      </c>
      <c r="T52" s="14" t="n">
        <f aca="false">118770</f>
        <v>118770</v>
      </c>
      <c r="U52" s="14" t="n">
        <f aca="false">58300+18810+112200+14850</f>
        <v>204160</v>
      </c>
      <c r="V52" s="14" t="n">
        <f aca="false">66600+50600</f>
        <v>117200</v>
      </c>
      <c r="W52" s="14" t="n">
        <f aca="false">66000+287920</f>
        <v>353920</v>
      </c>
      <c r="X52" s="14"/>
      <c r="Y52" s="14"/>
      <c r="Z52" s="14"/>
      <c r="AA52" s="14"/>
      <c r="AB52" s="14" t="n">
        <f aca="false">157924+108343</f>
        <v>266267</v>
      </c>
      <c r="AC52" s="14"/>
      <c r="AD52" s="14"/>
      <c r="AE52" s="14"/>
      <c r="AF52" s="14"/>
      <c r="AG52" s="14"/>
      <c r="AH52" s="14"/>
      <c r="AI52" s="14"/>
      <c r="AJ52" s="14"/>
      <c r="AK52" s="14"/>
      <c r="AL52" s="14" t="n">
        <v>16790</v>
      </c>
      <c r="AM52" s="14"/>
      <c r="AN52" s="14"/>
      <c r="AO52" s="14"/>
      <c r="AP52" s="14" t="n">
        <v>92400</v>
      </c>
      <c r="AQ52" s="14"/>
      <c r="AR52" s="14"/>
      <c r="AS52" s="14"/>
      <c r="AT52" s="14"/>
      <c r="AU52" s="14"/>
      <c r="AV52" s="14"/>
      <c r="AW52" s="14"/>
      <c r="AX52" s="14"/>
      <c r="AY52" s="14" t="n">
        <f aca="false">SUMIF($D$4:$AS$4, AY$4,$D52:$AS52)</f>
        <v>109190</v>
      </c>
      <c r="AZ52" s="14" t="n">
        <f aca="false">SUMIF($D$4:$AS$4, AZ$4,$D52:$AS52)</f>
        <v>221920</v>
      </c>
      <c r="BA52" s="14" t="n">
        <f aca="false">SUMIF($D$4:$AS$4, BA$4,$D52:$AS52)</f>
        <v>2370512</v>
      </c>
      <c r="BB52" s="14" t="n">
        <f aca="false">SUMIF($D$4:$AS$4, BB$4,$D52:$AS52)</f>
        <v>266267</v>
      </c>
      <c r="BC52" s="14" t="n">
        <f aca="false">SUMIF($D$4:$AS$4, BC$4,$D52:$AS52)</f>
        <v>0</v>
      </c>
      <c r="BD52" s="14"/>
      <c r="BE52" s="14" t="n">
        <f aca="false">SUM(D52:AS52)</f>
        <v>2967889</v>
      </c>
    </row>
    <row r="53" customFormat="false" ht="12.75" hidden="false" customHeight="true" outlineLevel="0" collapsed="false">
      <c r="A53" s="1" t="s">
        <v>57</v>
      </c>
      <c r="B53" s="1" t="n">
        <v>2024</v>
      </c>
      <c r="C53" s="1" t="s">
        <v>53</v>
      </c>
      <c r="D53" s="14"/>
      <c r="E53" s="14"/>
      <c r="F53" s="14"/>
      <c r="G53" s="14" t="n">
        <v>66192</v>
      </c>
      <c r="H53" s="14"/>
      <c r="I53" s="14" t="n">
        <f aca="false">29920</f>
        <v>29920</v>
      </c>
      <c r="J53" s="14"/>
      <c r="K53" s="14"/>
      <c r="L53" s="14"/>
      <c r="M53" s="14"/>
      <c r="N53" s="14"/>
      <c r="O53" s="14" t="n">
        <f aca="false">13090+238553</f>
        <v>251643</v>
      </c>
      <c r="P53" s="14"/>
      <c r="Q53" s="14" t="n">
        <v>285052</v>
      </c>
      <c r="R53" s="14" t="n">
        <v>288656</v>
      </c>
      <c r="S53" s="14" t="n">
        <f aca="false">389759+91699</f>
        <v>481458</v>
      </c>
      <c r="T53" s="14" t="n">
        <v>38293</v>
      </c>
      <c r="U53" s="14" t="n">
        <f aca="false">16412+30077</f>
        <v>46489</v>
      </c>
      <c r="V53" s="14"/>
      <c r="W53" s="14" t="n">
        <f aca="false">59167</f>
        <v>59167</v>
      </c>
      <c r="X53" s="14"/>
      <c r="Y53" s="14"/>
      <c r="Z53" s="14"/>
      <c r="AA53" s="14"/>
      <c r="AB53" s="14" t="n">
        <f aca="false">166400+115695</f>
        <v>282095</v>
      </c>
      <c r="AC53" s="14"/>
      <c r="AD53" s="14"/>
      <c r="AE53" s="14"/>
      <c r="AF53" s="14"/>
      <c r="AG53" s="14"/>
      <c r="AH53" s="14"/>
      <c r="AI53" s="14"/>
      <c r="AJ53" s="14"/>
      <c r="AK53" s="14"/>
      <c r="AL53" s="14" t="n">
        <v>18935</v>
      </c>
      <c r="AM53" s="14"/>
      <c r="AN53" s="14"/>
      <c r="AO53" s="14"/>
      <c r="AP53" s="14" t="n">
        <v>84538</v>
      </c>
      <c r="AQ53" s="14"/>
      <c r="AR53" s="14"/>
      <c r="AS53" s="14"/>
      <c r="AT53" s="14"/>
      <c r="AU53" s="14"/>
      <c r="AV53" s="14"/>
      <c r="AW53" s="14"/>
      <c r="AX53" s="14"/>
      <c r="AY53" s="14" t="n">
        <f aca="false">SUMIF($D$4:$AS$4, AY$4,$D53:$AS53)</f>
        <v>103473</v>
      </c>
      <c r="AZ53" s="14" t="n">
        <f aca="false">SUMIF($D$4:$AS$4, AZ$4,$D53:$AS53)</f>
        <v>96112</v>
      </c>
      <c r="BA53" s="14" t="n">
        <f aca="false">SUMIF($D$4:$AS$4, BA$4,$D53:$AS53)</f>
        <v>1450758</v>
      </c>
      <c r="BB53" s="14" t="n">
        <f aca="false">SUMIF($D$4:$AS$4, BB$4,$D53:$AS53)</f>
        <v>282095</v>
      </c>
      <c r="BC53" s="14" t="n">
        <f aca="false">SUMIF($D$4:$AS$4, BC$4,$D53:$AS53)</f>
        <v>0</v>
      </c>
      <c r="BD53" s="14"/>
      <c r="BE53" s="14" t="n">
        <f aca="false">SUM(D53:AS53)</f>
        <v>1932438</v>
      </c>
    </row>
    <row r="54" customFormat="false" ht="12.75" hidden="false" customHeight="true" outlineLevel="0" collapsed="false">
      <c r="A54" s="1" t="s">
        <v>58</v>
      </c>
      <c r="B54" s="1" t="n">
        <v>2024</v>
      </c>
      <c r="C54" s="1" t="s">
        <v>52</v>
      </c>
      <c r="D54" s="14"/>
      <c r="E54" s="14"/>
      <c r="F54" s="14"/>
      <c r="G54" s="14"/>
      <c r="H54" s="14"/>
      <c r="I54" s="14"/>
      <c r="J54" s="14" t="n">
        <f aca="false">42137+404328</f>
        <v>446465</v>
      </c>
      <c r="K54" s="14" t="n">
        <v>49644</v>
      </c>
      <c r="L54" s="14" t="n">
        <f aca="false">49644+124379</f>
        <v>174023</v>
      </c>
      <c r="M54" s="14"/>
      <c r="N54" s="14"/>
      <c r="O54" s="14"/>
      <c r="P54" s="14" t="n">
        <v>51121</v>
      </c>
      <c r="Q54" s="14"/>
      <c r="R54" s="14"/>
      <c r="S54" s="14"/>
      <c r="T54" s="14" t="n">
        <f aca="false">36382+238937</f>
        <v>275319</v>
      </c>
      <c r="U54" s="14" t="n">
        <f aca="false">26090+17394+185642+160000</f>
        <v>389126</v>
      </c>
      <c r="V54" s="14" t="n">
        <f aca="false">18692+9059+191565</f>
        <v>219316</v>
      </c>
      <c r="W54" s="14" t="n">
        <f aca="false">61513+24822+17764+197366+442660</f>
        <v>744125</v>
      </c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 t="n">
        <v>314880</v>
      </c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 t="n">
        <v>49644</v>
      </c>
      <c r="AT54" s="14"/>
      <c r="AU54" s="14"/>
      <c r="AV54" s="14"/>
      <c r="AW54" s="14"/>
      <c r="AX54" s="14"/>
      <c r="AY54" s="14" t="n">
        <f aca="false">SUMIF($D$4:$AS$4, AY$4,$D54:$AS54)</f>
        <v>49644</v>
      </c>
      <c r="AZ54" s="14" t="n">
        <f aca="false">SUMIF($D$4:$AS$4, AZ$4,$D54:$AS54)</f>
        <v>670132</v>
      </c>
      <c r="BA54" s="14" t="n">
        <f aca="false">SUMIF($D$4:$AS$4, BA$4,$D54:$AS54)</f>
        <v>1679007</v>
      </c>
      <c r="BB54" s="14" t="n">
        <f aca="false">SUMIF($D$4:$AS$4, BB$4,$D54:$AS54)</f>
        <v>0</v>
      </c>
      <c r="BC54" s="14" t="n">
        <f aca="false">SUMIF($D$4:$AS$4, BC$4,$D54:$AS54)</f>
        <v>314880</v>
      </c>
      <c r="BD54" s="14"/>
      <c r="BE54" s="14" t="n">
        <f aca="false">SUM(D54:AS54)</f>
        <v>2713663</v>
      </c>
    </row>
    <row r="55" customFormat="false" ht="12.75" hidden="false" customHeight="true" outlineLevel="0" collapsed="false">
      <c r="A55" s="1" t="s">
        <v>58</v>
      </c>
      <c r="B55" s="1" t="n">
        <v>2024</v>
      </c>
      <c r="C55" s="1" t="s">
        <v>53</v>
      </c>
      <c r="D55" s="14"/>
      <c r="E55" s="14"/>
      <c r="F55" s="14"/>
      <c r="G55" s="14"/>
      <c r="H55" s="14"/>
      <c r="I55" s="14"/>
      <c r="J55" s="14" t="n">
        <f aca="false">46448+3408</f>
        <v>49856</v>
      </c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 t="n">
        <v>0</v>
      </c>
      <c r="V55" s="14"/>
      <c r="W55" s="14" t="n">
        <f aca="false">21744+206907</f>
        <v>228651</v>
      </c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 t="n">
        <v>67589</v>
      </c>
      <c r="AT55" s="14"/>
      <c r="AU55" s="14"/>
      <c r="AV55" s="14"/>
      <c r="AW55" s="14"/>
      <c r="AX55" s="14"/>
      <c r="AY55" s="14" t="n">
        <f aca="false">SUMIF($D$4:$AS$4, AY$4,$D55:$AS55)</f>
        <v>67589</v>
      </c>
      <c r="AZ55" s="14" t="n">
        <f aca="false">SUMIF($D$4:$AS$4, AZ$4,$D55:$AS55)</f>
        <v>49856</v>
      </c>
      <c r="BA55" s="14" t="n">
        <f aca="false">SUMIF($D$4:$AS$4, BA$4,$D55:$AS55)</f>
        <v>228651</v>
      </c>
      <c r="BB55" s="14" t="n">
        <f aca="false">SUMIF($D$4:$AS$4, BB$4,$D55:$AS55)</f>
        <v>0</v>
      </c>
      <c r="BC55" s="14" t="n">
        <f aca="false">SUMIF($D$4:$AS$4, BC$4,$D55:$AS55)</f>
        <v>0</v>
      </c>
      <c r="BD55" s="14"/>
      <c r="BE55" s="14" t="n">
        <f aca="false">SUM(D55:AS55)</f>
        <v>346096</v>
      </c>
    </row>
    <row r="56" customFormat="false" ht="12.75" hidden="false" customHeight="true" outlineLevel="0" collapsed="false">
      <c r="A56" s="1" t="s">
        <v>59</v>
      </c>
      <c r="B56" s="1" t="n">
        <v>2024</v>
      </c>
      <c r="C56" s="1" t="s">
        <v>52</v>
      </c>
      <c r="D56" s="14" t="n">
        <v>1376686</v>
      </c>
      <c r="E56" s="14" t="n">
        <v>483378</v>
      </c>
      <c r="F56" s="14" t="n">
        <v>334338</v>
      </c>
      <c r="G56" s="14" t="n">
        <v>923724</v>
      </c>
      <c r="H56" s="14" t="n">
        <v>660892</v>
      </c>
      <c r="I56" s="14" t="n">
        <v>1698754</v>
      </c>
      <c r="J56" s="14" t="n">
        <v>1595915</v>
      </c>
      <c r="K56" s="14" t="n">
        <v>217023</v>
      </c>
      <c r="L56" s="14" t="n">
        <v>218747</v>
      </c>
      <c r="M56" s="14"/>
      <c r="N56" s="14"/>
      <c r="O56" s="14" t="n">
        <v>1422035</v>
      </c>
      <c r="P56" s="14" t="n">
        <v>789244</v>
      </c>
      <c r="Q56" s="14" t="n">
        <v>1189685</v>
      </c>
      <c r="R56" s="14" t="n">
        <f aca="false">157532+50347</f>
        <v>207879</v>
      </c>
      <c r="S56" s="14" t="n">
        <v>660292</v>
      </c>
      <c r="T56" s="14" t="n">
        <v>598686</v>
      </c>
      <c r="U56" s="14" t="n">
        <v>710750</v>
      </c>
      <c r="V56" s="14" t="n">
        <v>685157</v>
      </c>
      <c r="W56" s="14" t="n">
        <v>989128</v>
      </c>
      <c r="X56" s="14"/>
      <c r="Y56" s="14"/>
      <c r="Z56" s="14"/>
      <c r="AA56" s="14" t="n">
        <v>349067</v>
      </c>
      <c r="AB56" s="14" t="n">
        <v>440711</v>
      </c>
      <c r="AC56" s="14"/>
      <c r="AD56" s="14" t="n">
        <v>1031907</v>
      </c>
      <c r="AE56" s="14" t="n">
        <v>1121150</v>
      </c>
      <c r="AF56" s="14" t="n">
        <v>529374</v>
      </c>
      <c r="AG56" s="14" t="n">
        <v>1331609</v>
      </c>
      <c r="AH56" s="14" t="n">
        <v>1540745</v>
      </c>
      <c r="AI56" s="14" t="n">
        <v>1252861</v>
      </c>
      <c r="AJ56" s="14"/>
      <c r="AK56" s="14"/>
      <c r="AL56" s="14" t="n">
        <v>1344533</v>
      </c>
      <c r="AM56" s="14" t="n">
        <v>640020</v>
      </c>
      <c r="AN56" s="14" t="n">
        <v>981901</v>
      </c>
      <c r="AO56" s="14" t="n">
        <v>1413633</v>
      </c>
      <c r="AP56" s="14" t="n">
        <v>1013751</v>
      </c>
      <c r="AQ56" s="14" t="n">
        <v>889965</v>
      </c>
      <c r="AR56" s="14" t="n">
        <v>917522</v>
      </c>
      <c r="AS56" s="14" t="n">
        <v>149527</v>
      </c>
      <c r="AT56" s="14"/>
      <c r="AU56" s="14"/>
      <c r="AV56" s="14"/>
      <c r="AW56" s="14"/>
      <c r="AX56" s="14"/>
      <c r="AY56" s="14" t="n">
        <f aca="false">SUMIF($D$4:$AS$4, AY$4,$D56:$AS56)</f>
        <v>7350852</v>
      </c>
      <c r="AZ56" s="14" t="n">
        <f aca="false">SUMIF($D$4:$AS$4, AZ$4,$D56:$AS56)</f>
        <v>7509457</v>
      </c>
      <c r="BA56" s="14" t="n">
        <f aca="false">SUMIF($D$4:$AS$4, BA$4,$D56:$AS56)</f>
        <v>7252856</v>
      </c>
      <c r="BB56" s="14" t="n">
        <f aca="false">SUMIF($D$4:$AS$4, BB$4,$D56:$AS56)</f>
        <v>789778</v>
      </c>
      <c r="BC56" s="14" t="n">
        <f aca="false">SUMIF($D$4:$AS$4, BC$4,$D56:$AS56)</f>
        <v>6807646</v>
      </c>
      <c r="BD56" s="14"/>
      <c r="BE56" s="14" t="n">
        <f aca="false">SUM(D56:AS56)</f>
        <v>29710589</v>
      </c>
    </row>
    <row r="57" customFormat="false" ht="12.75" hidden="false" customHeight="true" outlineLevel="0" collapsed="false">
      <c r="A57" s="1" t="s">
        <v>59</v>
      </c>
      <c r="B57" s="1" t="n">
        <v>2024</v>
      </c>
      <c r="C57" s="1" t="s">
        <v>53</v>
      </c>
      <c r="D57" s="14" t="n">
        <v>1753230</v>
      </c>
      <c r="E57" s="14" t="n">
        <v>886523</v>
      </c>
      <c r="F57" s="14" t="n">
        <v>725927</v>
      </c>
      <c r="G57" s="14" t="n">
        <v>1309353</v>
      </c>
      <c r="H57" s="14" t="n">
        <v>1246861</v>
      </c>
      <c r="I57" s="14" t="n">
        <v>1874153</v>
      </c>
      <c r="J57" s="14" t="n">
        <v>1862413</v>
      </c>
      <c r="K57" s="14" t="n">
        <v>84138</v>
      </c>
      <c r="L57" s="14" t="n">
        <v>111267</v>
      </c>
      <c r="M57" s="14"/>
      <c r="N57" s="14"/>
      <c r="O57" s="14" t="n">
        <v>1297143</v>
      </c>
      <c r="P57" s="14" t="n">
        <v>1136744</v>
      </c>
      <c r="Q57" s="14" t="n">
        <v>1766638</v>
      </c>
      <c r="R57" s="14" t="n">
        <v>483916</v>
      </c>
      <c r="S57" s="14" t="n">
        <v>1087220</v>
      </c>
      <c r="T57" s="14" t="n">
        <v>1390008</v>
      </c>
      <c r="U57" s="14" t="n">
        <v>966055</v>
      </c>
      <c r="V57" s="14" t="n">
        <v>615769</v>
      </c>
      <c r="W57" s="14" t="n">
        <v>611405</v>
      </c>
      <c r="X57" s="14"/>
      <c r="Y57" s="14"/>
      <c r="Z57" s="14"/>
      <c r="AA57" s="14" t="n">
        <v>255619</v>
      </c>
      <c r="AB57" s="14" t="n">
        <v>436900</v>
      </c>
      <c r="AC57" s="14"/>
      <c r="AD57" s="14" t="n">
        <v>1733856</v>
      </c>
      <c r="AE57" s="14" t="n">
        <v>2075137</v>
      </c>
      <c r="AF57" s="14" t="n">
        <v>881133</v>
      </c>
      <c r="AG57" s="14" t="n">
        <v>1485525</v>
      </c>
      <c r="AH57" s="14" t="n">
        <v>1869351</v>
      </c>
      <c r="AI57" s="14" t="n">
        <v>1502314</v>
      </c>
      <c r="AJ57" s="14"/>
      <c r="AK57" s="14"/>
      <c r="AL57" s="14" t="n">
        <v>1607256</v>
      </c>
      <c r="AM57" s="14" t="n">
        <v>1180107</v>
      </c>
      <c r="AN57" s="14" t="n">
        <v>1409470</v>
      </c>
      <c r="AO57" s="14" t="n">
        <v>2325777</v>
      </c>
      <c r="AP57" s="14" t="n">
        <v>1448372</v>
      </c>
      <c r="AQ57" s="14" t="n">
        <v>1342760</v>
      </c>
      <c r="AR57" s="14" t="n">
        <v>859397</v>
      </c>
      <c r="AS57" s="14" t="n">
        <v>669028</v>
      </c>
      <c r="AT57" s="14"/>
      <c r="AU57" s="14"/>
      <c r="AV57" s="14"/>
      <c r="AW57" s="14"/>
      <c r="AX57" s="14"/>
      <c r="AY57" s="14" t="n">
        <f aca="false">SUMIF($D$4:$AS$4, AY$4,$D57:$AS57)</f>
        <v>10842167</v>
      </c>
      <c r="AZ57" s="14" t="n">
        <f aca="false">SUMIF($D$4:$AS$4, AZ$4,$D57:$AS57)</f>
        <v>9853865</v>
      </c>
      <c r="BA57" s="14" t="n">
        <f aca="false">SUMIF($D$4:$AS$4, BA$4,$D57:$AS57)</f>
        <v>9354898</v>
      </c>
      <c r="BB57" s="14" t="n">
        <f aca="false">SUMIF($D$4:$AS$4, BB$4,$D57:$AS57)</f>
        <v>692519</v>
      </c>
      <c r="BC57" s="14" t="n">
        <f aca="false">SUMIF($D$4:$AS$4, BC$4,$D57:$AS57)</f>
        <v>9547316</v>
      </c>
      <c r="BD57" s="14"/>
      <c r="BE57" s="14" t="n">
        <f aca="false">SUM(D57:AS57)</f>
        <v>40290765</v>
      </c>
    </row>
    <row r="58" customFormat="false" ht="12.75" hidden="false" customHeight="true" outlineLevel="0" collapsed="false">
      <c r="A58" s="1" t="s">
        <v>73</v>
      </c>
      <c r="B58" s="1" t="n">
        <v>2024</v>
      </c>
      <c r="C58" s="1" t="s">
        <v>61</v>
      </c>
      <c r="D58" s="14" t="n">
        <v>21556</v>
      </c>
      <c r="E58" s="14" t="n">
        <v>12803</v>
      </c>
      <c r="F58" s="14" t="n">
        <v>18958</v>
      </c>
      <c r="G58" s="14" t="n">
        <v>23377</v>
      </c>
      <c r="H58" s="14" t="n">
        <v>20305</v>
      </c>
      <c r="I58" s="14" t="n">
        <v>46078</v>
      </c>
      <c r="J58" s="14" t="n">
        <v>38950</v>
      </c>
      <c r="K58" s="14" t="n">
        <v>139</v>
      </c>
      <c r="L58" s="14"/>
      <c r="M58" s="14"/>
      <c r="N58" s="14"/>
      <c r="O58" s="14" t="n">
        <v>36384</v>
      </c>
      <c r="P58" s="14" t="n">
        <v>21765</v>
      </c>
      <c r="Q58" s="14" t="n">
        <v>50233</v>
      </c>
      <c r="R58" s="14" t="n">
        <v>5930</v>
      </c>
      <c r="S58" s="14" t="n">
        <v>25894</v>
      </c>
      <c r="T58" s="14" t="n">
        <v>15430</v>
      </c>
      <c r="U58" s="14" t="n">
        <v>18655</v>
      </c>
      <c r="V58" s="14" t="n">
        <v>7532</v>
      </c>
      <c r="W58" s="14" t="n">
        <v>6296</v>
      </c>
      <c r="X58" s="14"/>
      <c r="Y58" s="14"/>
      <c r="Z58" s="14"/>
      <c r="AA58" s="14" t="n">
        <v>5438</v>
      </c>
      <c r="AB58" s="14" t="n">
        <v>31113</v>
      </c>
      <c r="AC58" s="14"/>
      <c r="AD58" s="14" t="n">
        <v>22787</v>
      </c>
      <c r="AE58" s="14" t="n">
        <v>20582</v>
      </c>
      <c r="AF58" s="14" t="n">
        <v>21624</v>
      </c>
      <c r="AG58" s="14" t="n">
        <v>22211</v>
      </c>
      <c r="AH58" s="14" t="n">
        <v>33544</v>
      </c>
      <c r="AI58" s="14" t="n">
        <v>23499</v>
      </c>
      <c r="AJ58" s="14"/>
      <c r="AK58" s="14"/>
      <c r="AL58" s="14" t="n">
        <v>18564</v>
      </c>
      <c r="AM58" s="14" t="n">
        <v>21000</v>
      </c>
      <c r="AN58" s="14" t="n">
        <v>18520</v>
      </c>
      <c r="AO58" s="14" t="n">
        <v>52961</v>
      </c>
      <c r="AP58" s="14" t="n">
        <v>19496</v>
      </c>
      <c r="AQ58" s="14" t="n">
        <v>13125</v>
      </c>
      <c r="AR58" s="14" t="n">
        <v>19803</v>
      </c>
      <c r="AS58" s="14" t="n">
        <v>1795</v>
      </c>
      <c r="AT58" s="14"/>
      <c r="AU58" s="14"/>
      <c r="AV58" s="14"/>
      <c r="AW58" s="14"/>
      <c r="AX58" s="14"/>
      <c r="AY58" s="14" t="n">
        <f aca="false">SUMIF($D$4:$AS$4, AY$4,$D58:$AS58)</f>
        <v>165264</v>
      </c>
      <c r="AZ58" s="14" t="n">
        <f aca="false">SUMIF($D$4:$AS$4, AZ$4,$D58:$AS58)</f>
        <v>182166</v>
      </c>
      <c r="BA58" s="14" t="n">
        <f aca="false">SUMIF($D$4:$AS$4, BA$4,$D58:$AS58)</f>
        <v>188119</v>
      </c>
      <c r="BB58" s="14" t="n">
        <f aca="false">SUMIF($D$4:$AS$4, BB$4,$D58:$AS58)</f>
        <v>36551</v>
      </c>
      <c r="BC58" s="14" t="n">
        <f aca="false">SUMIF($D$4:$AS$4, BC$4,$D58:$AS58)</f>
        <v>144247</v>
      </c>
      <c r="BD58" s="14"/>
      <c r="BE58" s="14" t="n">
        <f aca="false">SUM(D58:AS58)</f>
        <v>716347</v>
      </c>
    </row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>
      <c r="A61" s="11" t="s">
        <v>74</v>
      </c>
    </row>
    <row r="62" customFormat="false" ht="12.75" hidden="false" customHeight="true" outlineLevel="0" collapsed="false">
      <c r="A62" s="11"/>
    </row>
    <row r="63" customFormat="false" ht="12.75" hidden="false" customHeight="true" outlineLevel="0" collapsed="false">
      <c r="A63" s="1" t="s">
        <v>51</v>
      </c>
      <c r="B63" s="1" t="n">
        <v>2023</v>
      </c>
      <c r="C63" s="1" t="s">
        <v>52</v>
      </c>
      <c r="D63" s="2" t="n">
        <v>847986</v>
      </c>
      <c r="E63" s="2" t="n">
        <v>292714</v>
      </c>
      <c r="F63" s="2" t="n">
        <v>661653</v>
      </c>
      <c r="G63" s="2" t="n">
        <v>1504473</v>
      </c>
      <c r="H63" s="2" t="n">
        <v>1277863</v>
      </c>
      <c r="I63" s="2" t="n">
        <v>1398328</v>
      </c>
      <c r="J63" s="2" t="n">
        <v>1366682</v>
      </c>
      <c r="O63" s="2" t="n">
        <v>823869</v>
      </c>
      <c r="P63" s="2" t="n">
        <v>586964</v>
      </c>
      <c r="Q63" s="2" t="n">
        <v>1358449</v>
      </c>
      <c r="S63" s="2" t="n">
        <v>346050</v>
      </c>
      <c r="AA63" s="2" t="n">
        <v>201331</v>
      </c>
      <c r="AD63" s="2" t="n">
        <v>1172044</v>
      </c>
      <c r="AE63" s="2" t="n">
        <v>1137689</v>
      </c>
      <c r="AF63" s="2" t="n">
        <v>846200</v>
      </c>
      <c r="AG63" s="2" t="n">
        <v>1143292</v>
      </c>
      <c r="AH63" s="2" t="n">
        <v>2360434</v>
      </c>
      <c r="AI63" s="2" t="n">
        <v>1169689</v>
      </c>
      <c r="AL63" s="2" t="n">
        <v>1809583</v>
      </c>
      <c r="AM63" s="2" t="n">
        <v>512422</v>
      </c>
      <c r="AN63" s="2" t="n">
        <v>1686953</v>
      </c>
      <c r="AO63" s="2" t="n">
        <v>3189813</v>
      </c>
      <c r="AP63" s="2" t="n">
        <v>2463386</v>
      </c>
      <c r="AQ63" s="2" t="n">
        <v>2093557</v>
      </c>
      <c r="AR63" s="2" t="n">
        <v>1705278</v>
      </c>
      <c r="AY63" s="14" t="n">
        <f aca="false">SUMIF($D$4:$AS$4, AY$4,$D63:$AS63)</f>
        <v>13460992</v>
      </c>
      <c r="AZ63" s="14" t="n">
        <f aca="false">SUMIF($D$4:$AS$4, AZ$4,$D63:$AS63)</f>
        <v>7349699</v>
      </c>
      <c r="BA63" s="14" t="n">
        <f aca="false">SUMIF($D$4:$AS$4, BA$4,$D63:$AS63)</f>
        <v>3115332</v>
      </c>
      <c r="BB63" s="14" t="n">
        <f aca="false">SUMIF($D$4:$AS$4, BB$4,$D63:$AS63)</f>
        <v>201331</v>
      </c>
      <c r="BC63" s="14" t="n">
        <f aca="false">SUMIF($D$4:$AS$4, BC$4,$D63:$AS63)</f>
        <v>7829348</v>
      </c>
      <c r="BE63" s="14" t="n">
        <f aca="false">SUM(D63:AS63)</f>
        <v>31956702</v>
      </c>
    </row>
    <row r="64" customFormat="false" ht="12.75" hidden="false" customHeight="true" outlineLevel="0" collapsed="false">
      <c r="A64" s="1" t="s">
        <v>51</v>
      </c>
      <c r="B64" s="1" t="n">
        <v>2023</v>
      </c>
      <c r="C64" s="1" t="s">
        <v>53</v>
      </c>
      <c r="D64" s="14" t="n">
        <v>1205020</v>
      </c>
      <c r="E64" s="14" t="n">
        <v>407160</v>
      </c>
      <c r="F64" s="14" t="n">
        <v>359344</v>
      </c>
      <c r="G64" s="14" t="n">
        <v>967688</v>
      </c>
      <c r="H64" s="14" t="n">
        <v>863481</v>
      </c>
      <c r="I64" s="14" t="n">
        <v>833787</v>
      </c>
      <c r="J64" s="14" t="n">
        <v>257073</v>
      </c>
      <c r="K64" s="14"/>
      <c r="L64" s="14"/>
      <c r="M64" s="14"/>
      <c r="N64" s="14"/>
      <c r="O64" s="14" t="n">
        <v>873647</v>
      </c>
      <c r="P64" s="14" t="n">
        <v>737811</v>
      </c>
      <c r="Q64" s="14" t="n">
        <v>1598189</v>
      </c>
      <c r="R64" s="14" t="n">
        <v>0</v>
      </c>
      <c r="S64" s="14" t="n">
        <v>361093</v>
      </c>
      <c r="T64" s="14"/>
      <c r="U64" s="14"/>
      <c r="V64" s="14"/>
      <c r="W64" s="14"/>
      <c r="X64" s="14"/>
      <c r="Y64" s="14"/>
      <c r="Z64" s="14"/>
      <c r="AA64" s="14" t="n">
        <v>333364</v>
      </c>
      <c r="AB64" s="14" t="n">
        <v>0</v>
      </c>
      <c r="AC64" s="14"/>
      <c r="AD64" s="14" t="n">
        <v>1818057</v>
      </c>
      <c r="AE64" s="14" t="n">
        <v>1079174</v>
      </c>
      <c r="AF64" s="14" t="n">
        <v>935502</v>
      </c>
      <c r="AG64" s="14" t="n">
        <v>901574</v>
      </c>
      <c r="AH64" s="14" t="n">
        <v>1537281</v>
      </c>
      <c r="AI64" s="14" t="n">
        <v>1028306</v>
      </c>
      <c r="AJ64" s="14"/>
      <c r="AK64" s="14"/>
      <c r="AL64" s="14" t="n">
        <v>1308052</v>
      </c>
      <c r="AM64" s="14" t="n">
        <v>0</v>
      </c>
      <c r="AN64" s="14" t="n">
        <v>1108921</v>
      </c>
      <c r="AO64" s="14" t="n">
        <v>2401830</v>
      </c>
      <c r="AP64" s="14" t="n">
        <v>943578</v>
      </c>
      <c r="AQ64" s="14" t="n">
        <v>0</v>
      </c>
      <c r="AR64" s="14" t="n">
        <v>475555</v>
      </c>
      <c r="AS64" s="14"/>
      <c r="AT64" s="14"/>
      <c r="AU64" s="14"/>
      <c r="AV64" s="14"/>
      <c r="AW64" s="14"/>
      <c r="AX64" s="14"/>
      <c r="AY64" s="14" t="n">
        <f aca="false">SUMIF($D$4:$AS$4, AY$4,$D64:$AS64)</f>
        <v>6237936</v>
      </c>
      <c r="AZ64" s="14" t="n">
        <f aca="false">SUMIF($D$4:$AS$4, AZ$4,$D64:$AS64)</f>
        <v>4893553</v>
      </c>
      <c r="BA64" s="14" t="n">
        <f aca="false">SUMIF($D$4:$AS$4, BA$4,$D64:$AS64)</f>
        <v>3570740</v>
      </c>
      <c r="BB64" s="14" t="n">
        <f aca="false">SUMIF($D$4:$AS$4, BB$4,$D64:$AS64)</f>
        <v>333364</v>
      </c>
      <c r="BC64" s="14" t="n">
        <f aca="false">SUMIF($D$4:$AS$4, BC$4,$D64:$AS64)</f>
        <v>7299894</v>
      </c>
      <c r="BD64" s="14"/>
      <c r="BE64" s="14" t="n">
        <f aca="false">SUM(D64:AS64)</f>
        <v>22335487</v>
      </c>
    </row>
    <row r="65" customFormat="false" ht="12.75" hidden="false" customHeight="true" outlineLevel="0" collapsed="false">
      <c r="A65" s="1" t="s">
        <v>54</v>
      </c>
      <c r="B65" s="1" t="n">
        <v>2023</v>
      </c>
      <c r="C65" s="1" t="s">
        <v>52</v>
      </c>
      <c r="D65" s="14" t="n">
        <v>171734</v>
      </c>
      <c r="E65" s="14"/>
      <c r="F65" s="14"/>
      <c r="G65" s="14" t="n">
        <v>617551</v>
      </c>
      <c r="H65" s="14" t="n">
        <v>664596</v>
      </c>
      <c r="I65" s="14" t="n">
        <v>845813</v>
      </c>
      <c r="J65" s="14" t="n">
        <v>530400</v>
      </c>
      <c r="K65" s="14"/>
      <c r="L65" s="14"/>
      <c r="M65" s="14"/>
      <c r="N65" s="14"/>
      <c r="O65" s="14" t="n">
        <v>255000</v>
      </c>
      <c r="P65" s="14" t="n">
        <v>706830</v>
      </c>
      <c r="Q65" s="14" t="n">
        <v>403563</v>
      </c>
      <c r="R65" s="14"/>
      <c r="S65" s="14" t="n">
        <v>479200</v>
      </c>
      <c r="T65" s="14"/>
      <c r="U65" s="14"/>
      <c r="V65" s="14"/>
      <c r="W65" s="14"/>
      <c r="X65" s="14"/>
      <c r="Y65" s="14"/>
      <c r="Z65" s="14"/>
      <c r="AA65" s="14" t="n">
        <v>117805</v>
      </c>
      <c r="AB65" s="14" t="n">
        <v>158452</v>
      </c>
      <c r="AC65" s="14"/>
      <c r="AD65" s="14" t="n">
        <v>530561</v>
      </c>
      <c r="AE65" s="14" t="n">
        <v>270686</v>
      </c>
      <c r="AF65" s="14" t="n">
        <v>453653</v>
      </c>
      <c r="AG65" s="14" t="n">
        <v>715200</v>
      </c>
      <c r="AH65" s="14" t="n">
        <v>795600</v>
      </c>
      <c r="AI65" s="14" t="n">
        <v>683895</v>
      </c>
      <c r="AJ65" s="14"/>
      <c r="AK65" s="14"/>
      <c r="AL65" s="14" t="n">
        <v>154800</v>
      </c>
      <c r="AM65" s="14"/>
      <c r="AN65" s="14" t="n">
        <v>530317</v>
      </c>
      <c r="AO65" s="14" t="n">
        <v>371429</v>
      </c>
      <c r="AP65" s="14" t="n">
        <v>181500</v>
      </c>
      <c r="AQ65" s="14" t="n">
        <v>137700</v>
      </c>
      <c r="AR65" s="14" t="n">
        <v>495238</v>
      </c>
      <c r="AS65" s="14"/>
      <c r="AT65" s="14"/>
      <c r="AU65" s="14"/>
      <c r="AV65" s="14"/>
      <c r="AW65" s="14"/>
      <c r="AX65" s="14"/>
      <c r="AY65" s="14" t="n">
        <f aca="false">SUMIF($D$4:$AS$4, AY$4,$D65:$AS65)</f>
        <v>1870984</v>
      </c>
      <c r="AZ65" s="14" t="n">
        <f aca="false">SUMIF($D$4:$AS$4, AZ$4,$D65:$AS65)</f>
        <v>2830094</v>
      </c>
      <c r="BA65" s="14" t="n">
        <f aca="false">SUMIF($D$4:$AS$4, BA$4,$D65:$AS65)</f>
        <v>1844593</v>
      </c>
      <c r="BB65" s="14" t="n">
        <f aca="false">SUMIF($D$4:$AS$4, BB$4,$D65:$AS65)</f>
        <v>276257</v>
      </c>
      <c r="BC65" s="14" t="n">
        <f aca="false">SUMIF($D$4:$AS$4, BC$4,$D65:$AS65)</f>
        <v>3449595</v>
      </c>
      <c r="BD65" s="14"/>
      <c r="BE65" s="14" t="n">
        <f aca="false">SUM(D65:AS65)</f>
        <v>10271523</v>
      </c>
    </row>
    <row r="66" customFormat="false" ht="12.75" hidden="false" customHeight="true" outlineLevel="0" collapsed="false">
      <c r="A66" s="1" t="s">
        <v>54</v>
      </c>
      <c r="B66" s="1" t="n">
        <v>2023</v>
      </c>
      <c r="C66" s="1" t="s">
        <v>53</v>
      </c>
      <c r="D66" s="14" t="n">
        <v>301135</v>
      </c>
      <c r="E66" s="14" t="n">
        <v>0</v>
      </c>
      <c r="F66" s="14" t="n">
        <v>0</v>
      </c>
      <c r="G66" s="14" t="n">
        <v>446901</v>
      </c>
      <c r="H66" s="14" t="n">
        <v>525680</v>
      </c>
      <c r="I66" s="14" t="n">
        <v>368084</v>
      </c>
      <c r="J66" s="14" t="n">
        <v>299048</v>
      </c>
      <c r="K66" s="14"/>
      <c r="L66" s="14"/>
      <c r="M66" s="14"/>
      <c r="N66" s="14"/>
      <c r="O66" s="14" t="n">
        <v>0</v>
      </c>
      <c r="P66" s="14" t="n">
        <v>689127</v>
      </c>
      <c r="Q66" s="14" t="n">
        <v>424039</v>
      </c>
      <c r="R66" s="14" t="n">
        <v>0</v>
      </c>
      <c r="S66" s="14" t="n">
        <v>441898</v>
      </c>
      <c r="T66" s="14"/>
      <c r="U66" s="14"/>
      <c r="V66" s="14"/>
      <c r="W66" s="14"/>
      <c r="X66" s="14"/>
      <c r="Y66" s="14"/>
      <c r="Z66" s="14"/>
      <c r="AA66" s="14" t="n">
        <v>54631</v>
      </c>
      <c r="AB66" s="14" t="n">
        <v>58204</v>
      </c>
      <c r="AC66" s="14"/>
      <c r="AD66" s="14" t="n">
        <v>360136</v>
      </c>
      <c r="AE66" s="14" t="n">
        <v>715628</v>
      </c>
      <c r="AF66" s="14" t="n">
        <v>388707</v>
      </c>
      <c r="AG66" s="14" t="n">
        <v>575432</v>
      </c>
      <c r="AH66" s="14" t="n">
        <v>342576</v>
      </c>
      <c r="AI66" s="14" t="n">
        <v>382022</v>
      </c>
      <c r="AJ66" s="14"/>
      <c r="AK66" s="14"/>
      <c r="AL66" s="14" t="n">
        <v>182578</v>
      </c>
      <c r="AM66" s="14" t="n">
        <v>0</v>
      </c>
      <c r="AN66" s="14" t="n">
        <v>0</v>
      </c>
      <c r="AO66" s="14" t="n">
        <v>0</v>
      </c>
      <c r="AP66" s="14" t="n">
        <v>92849</v>
      </c>
      <c r="AQ66" s="14" t="n">
        <v>0</v>
      </c>
      <c r="AR66" s="14" t="n">
        <v>99745</v>
      </c>
      <c r="AS66" s="14"/>
      <c r="AT66" s="14"/>
      <c r="AU66" s="14"/>
      <c r="AV66" s="14"/>
      <c r="AW66" s="14"/>
      <c r="AX66" s="14"/>
      <c r="AY66" s="14" t="n">
        <f aca="false">SUMIF($D$4:$AS$4, AY$4,$D66:$AS66)</f>
        <v>375172</v>
      </c>
      <c r="AZ66" s="14" t="n">
        <f aca="false">SUMIF($D$4:$AS$4, AZ$4,$D66:$AS66)</f>
        <v>1940848</v>
      </c>
      <c r="BA66" s="14" t="n">
        <f aca="false">SUMIF($D$4:$AS$4, BA$4,$D66:$AS66)</f>
        <v>1555064</v>
      </c>
      <c r="BB66" s="14" t="n">
        <f aca="false">SUMIF($D$4:$AS$4, BB$4,$D66:$AS66)</f>
        <v>112835</v>
      </c>
      <c r="BC66" s="14" t="n">
        <f aca="false">SUMIF($D$4:$AS$4, BC$4,$D66:$AS66)</f>
        <v>2764501</v>
      </c>
      <c r="BD66" s="14"/>
      <c r="BE66" s="14" t="n">
        <f aca="false">SUM(D66:AS66)</f>
        <v>6748420</v>
      </c>
    </row>
    <row r="67" customFormat="false" ht="12.75" hidden="false" customHeight="true" outlineLevel="0" collapsed="false">
      <c r="A67" s="1" t="s">
        <v>55</v>
      </c>
      <c r="B67" s="1" t="n">
        <v>2023</v>
      </c>
      <c r="C67" s="1" t="s">
        <v>52</v>
      </c>
      <c r="D67" s="14" t="n">
        <v>818451</v>
      </c>
      <c r="E67" s="14" t="n">
        <v>459568</v>
      </c>
      <c r="F67" s="14" t="n">
        <v>293211</v>
      </c>
      <c r="G67" s="14" t="n">
        <v>691007</v>
      </c>
      <c r="H67" s="14" t="n">
        <v>691007</v>
      </c>
      <c r="I67" s="14" t="n">
        <v>923329</v>
      </c>
      <c r="J67" s="14" t="n">
        <v>818451</v>
      </c>
      <c r="K67" s="14"/>
      <c r="L67" s="14"/>
      <c r="M67" s="14"/>
      <c r="N67" s="14"/>
      <c r="O67" s="14" t="n">
        <v>435229</v>
      </c>
      <c r="P67" s="14" t="n">
        <v>586511</v>
      </c>
      <c r="Q67" s="14" t="n">
        <v>1040588</v>
      </c>
      <c r="R67" s="14" t="n">
        <v>373278</v>
      </c>
      <c r="S67" s="14" t="n">
        <v>649910</v>
      </c>
      <c r="T67" s="14"/>
      <c r="U67" s="14"/>
      <c r="V67" s="14"/>
      <c r="W67" s="14"/>
      <c r="X67" s="14"/>
      <c r="Y67" s="14"/>
      <c r="Z67" s="14"/>
      <c r="AA67" s="14" t="n">
        <v>271398</v>
      </c>
      <c r="AB67" s="14" t="n">
        <v>190978</v>
      </c>
      <c r="AC67" s="14"/>
      <c r="AD67" s="14" t="n">
        <v>720066</v>
      </c>
      <c r="AE67" s="14" t="n">
        <v>786778</v>
      </c>
      <c r="AF67" s="14" t="n">
        <v>676393</v>
      </c>
      <c r="AG67" s="14" t="n">
        <v>1039600</v>
      </c>
      <c r="AH67" s="14" t="n">
        <v>1463600</v>
      </c>
      <c r="AI67" s="14" t="n">
        <v>1048618</v>
      </c>
      <c r="AJ67" s="14"/>
      <c r="AK67" s="14"/>
      <c r="AL67" s="14" t="n">
        <v>604240</v>
      </c>
      <c r="AM67" s="14" t="n">
        <v>786947</v>
      </c>
      <c r="AN67" s="14" t="n">
        <v>951572</v>
      </c>
      <c r="AO67" s="14" t="n">
        <v>1766244</v>
      </c>
      <c r="AP67" s="14" t="n">
        <v>901740</v>
      </c>
      <c r="AQ67" s="14" t="n">
        <v>1037400</v>
      </c>
      <c r="AR67" s="14" t="n">
        <v>999322</v>
      </c>
      <c r="AS67" s="14"/>
      <c r="AT67" s="14"/>
      <c r="AU67" s="14"/>
      <c r="AV67" s="14"/>
      <c r="AW67" s="14"/>
      <c r="AX67" s="14"/>
      <c r="AY67" s="14" t="n">
        <f aca="false">SUMIF($D$4:$AS$4, AY$4,$D67:$AS67)</f>
        <v>7047465</v>
      </c>
      <c r="AZ67" s="14" t="n">
        <f aca="false">SUMIF($D$4:$AS$4, AZ$4,$D67:$AS67)</f>
        <v>4695024</v>
      </c>
      <c r="BA67" s="14" t="n">
        <f aca="false">SUMIF($D$4:$AS$4, BA$4,$D67:$AS67)</f>
        <v>3085516</v>
      </c>
      <c r="BB67" s="14" t="n">
        <f aca="false">SUMIF($D$4:$AS$4, BB$4,$D67:$AS67)</f>
        <v>462376</v>
      </c>
      <c r="BC67" s="14" t="n">
        <f aca="false">SUMIF($D$4:$AS$4, BC$4,$D67:$AS67)</f>
        <v>5735055</v>
      </c>
      <c r="BD67" s="14"/>
      <c r="BE67" s="14" t="n">
        <f aca="false">SUM(D67:AS67)</f>
        <v>21025436</v>
      </c>
    </row>
    <row r="68" customFormat="false" ht="12.75" hidden="false" customHeight="true" outlineLevel="0" collapsed="false">
      <c r="A68" s="1" t="s">
        <v>55</v>
      </c>
      <c r="B68" s="1" t="n">
        <v>2023</v>
      </c>
      <c r="C68" s="1" t="s">
        <v>53</v>
      </c>
      <c r="D68" s="14" t="n">
        <v>681655</v>
      </c>
      <c r="E68" s="14" t="n">
        <v>491231</v>
      </c>
      <c r="F68" s="14" t="n">
        <v>392424</v>
      </c>
      <c r="G68" s="14" t="n">
        <v>680203</v>
      </c>
      <c r="H68" s="14" t="n">
        <v>719988</v>
      </c>
      <c r="I68" s="14" t="n">
        <v>635802</v>
      </c>
      <c r="J68" s="14" t="n">
        <v>239475</v>
      </c>
      <c r="K68" s="14"/>
      <c r="L68" s="14"/>
      <c r="M68" s="14"/>
      <c r="N68" s="14"/>
      <c r="O68" s="14" t="n">
        <v>472602</v>
      </c>
      <c r="P68" s="14" t="n">
        <v>799539</v>
      </c>
      <c r="Q68" s="14" t="n">
        <v>1341053</v>
      </c>
      <c r="R68" s="14" t="n">
        <v>410070</v>
      </c>
      <c r="S68" s="14" t="n">
        <v>725227</v>
      </c>
      <c r="T68" s="14"/>
      <c r="U68" s="14"/>
      <c r="V68" s="14"/>
      <c r="W68" s="14"/>
      <c r="X68" s="14"/>
      <c r="Y68" s="14"/>
      <c r="Z68" s="14"/>
      <c r="AA68" s="14" t="n">
        <v>305535</v>
      </c>
      <c r="AB68" s="14" t="n">
        <v>277188</v>
      </c>
      <c r="AC68" s="14"/>
      <c r="AD68" s="14" t="n">
        <v>794149</v>
      </c>
      <c r="AE68" s="14" t="n">
        <v>1048294</v>
      </c>
      <c r="AF68" s="14" t="n">
        <v>603722</v>
      </c>
      <c r="AG68" s="14" t="n">
        <v>1189569</v>
      </c>
      <c r="AH68" s="14" t="n">
        <v>1316206</v>
      </c>
      <c r="AI68" s="14" t="n">
        <v>1222375</v>
      </c>
      <c r="AJ68" s="14"/>
      <c r="AK68" s="14"/>
      <c r="AL68" s="14" t="n">
        <v>779769</v>
      </c>
      <c r="AM68" s="14" t="n">
        <v>169118</v>
      </c>
      <c r="AN68" s="14" t="n">
        <v>790421</v>
      </c>
      <c r="AO68" s="14" t="n">
        <v>1541973</v>
      </c>
      <c r="AP68" s="14" t="n">
        <v>1052180</v>
      </c>
      <c r="AQ68" s="14" t="n">
        <v>1111522</v>
      </c>
      <c r="AR68" s="14" t="n">
        <v>740501</v>
      </c>
      <c r="AS68" s="14"/>
      <c r="AT68" s="14"/>
      <c r="AU68" s="14"/>
      <c r="AV68" s="14"/>
      <c r="AW68" s="14"/>
      <c r="AX68" s="14"/>
      <c r="AY68" s="14" t="n">
        <f aca="false">SUMIF($D$4:$AS$4, AY$4,$D68:$AS68)</f>
        <v>6185484</v>
      </c>
      <c r="AZ68" s="14" t="n">
        <f aca="false">SUMIF($D$4:$AS$4, AZ$4,$D68:$AS68)</f>
        <v>3840778</v>
      </c>
      <c r="BA68" s="14" t="n">
        <f aca="false">SUMIF($D$4:$AS$4, BA$4,$D68:$AS68)</f>
        <v>3748491</v>
      </c>
      <c r="BB68" s="14" t="n">
        <f aca="false">SUMIF($D$4:$AS$4, BB$4,$D68:$AS68)</f>
        <v>582723</v>
      </c>
      <c r="BC68" s="14" t="n">
        <f aca="false">SUMIF($D$4:$AS$4, BC$4,$D68:$AS68)</f>
        <v>6174315</v>
      </c>
      <c r="BD68" s="14"/>
      <c r="BE68" s="14" t="n">
        <f aca="false">SUM(D68:AS68)</f>
        <v>20531791</v>
      </c>
    </row>
    <row r="69" customFormat="false" ht="12.75" hidden="false" customHeight="true" outlineLevel="0" collapsed="false">
      <c r="A69" s="1" t="s">
        <v>72</v>
      </c>
      <c r="B69" s="1" t="n">
        <v>2023</v>
      </c>
      <c r="C69" s="1" t="s">
        <v>52</v>
      </c>
      <c r="D69" s="14" t="n">
        <v>198000</v>
      </c>
      <c r="E69" s="14" t="n">
        <v>364894</v>
      </c>
      <c r="F69" s="14" t="n">
        <v>309058</v>
      </c>
      <c r="G69" s="14" t="n">
        <v>320698</v>
      </c>
      <c r="H69" s="14" t="n">
        <v>213698</v>
      </c>
      <c r="I69" s="14" t="n">
        <v>341333</v>
      </c>
      <c r="J69" s="14" t="n">
        <v>437825</v>
      </c>
      <c r="K69" s="14"/>
      <c r="L69" s="14"/>
      <c r="M69" s="14"/>
      <c r="N69" s="14"/>
      <c r="O69" s="14" t="n">
        <v>523719</v>
      </c>
      <c r="P69" s="14" t="n">
        <v>551536</v>
      </c>
      <c r="Q69" s="14" t="n">
        <v>699636</v>
      </c>
      <c r="R69" s="14" t="n">
        <v>563782</v>
      </c>
      <c r="S69" s="14" t="n">
        <v>802363</v>
      </c>
      <c r="T69" s="14"/>
      <c r="U69" s="14"/>
      <c r="V69" s="14"/>
      <c r="W69" s="14"/>
      <c r="X69" s="14"/>
      <c r="Y69" s="14"/>
      <c r="Z69" s="14"/>
      <c r="AA69" s="14" t="n">
        <v>101136</v>
      </c>
      <c r="AB69" s="14"/>
      <c r="AC69" s="14"/>
      <c r="AD69" s="14"/>
      <c r="AE69" s="14" t="n">
        <v>168485</v>
      </c>
      <c r="AF69" s="14" t="n">
        <v>132511</v>
      </c>
      <c r="AG69" s="14" t="n">
        <v>593850</v>
      </c>
      <c r="AH69" s="14" t="n">
        <v>509600</v>
      </c>
      <c r="AI69" s="14" t="n">
        <v>305831</v>
      </c>
      <c r="AJ69" s="14"/>
      <c r="AK69" s="14"/>
      <c r="AL69" s="14" t="n">
        <v>524300</v>
      </c>
      <c r="AM69" s="14" t="n">
        <v>496047</v>
      </c>
      <c r="AN69" s="14" t="n">
        <v>350718</v>
      </c>
      <c r="AO69" s="14" t="n">
        <v>707457</v>
      </c>
      <c r="AP69" s="14" t="n">
        <v>411600</v>
      </c>
      <c r="AQ69" s="14" t="n">
        <v>535300</v>
      </c>
      <c r="AR69" s="14" t="n">
        <v>474633</v>
      </c>
      <c r="AS69" s="14"/>
      <c r="AT69" s="14"/>
      <c r="AU69" s="14"/>
      <c r="AV69" s="14"/>
      <c r="AW69" s="14"/>
      <c r="AX69" s="14"/>
      <c r="AY69" s="14" t="n">
        <f aca="false">SUMIF($D$4:$AS$4, AY$4,$D69:$AS69)</f>
        <v>3500055</v>
      </c>
      <c r="AZ69" s="14" t="n">
        <f aca="false">SUMIF($D$4:$AS$4, AZ$4,$D69:$AS69)</f>
        <v>2185506</v>
      </c>
      <c r="BA69" s="14" t="n">
        <f aca="false">SUMIF($D$4:$AS$4, BA$4,$D69:$AS69)</f>
        <v>3141036</v>
      </c>
      <c r="BB69" s="14" t="n">
        <f aca="false">SUMIF($D$4:$AS$4, BB$4,$D69:$AS69)</f>
        <v>101136</v>
      </c>
      <c r="BC69" s="14" t="n">
        <f aca="false">SUMIF($D$4:$AS$4, BC$4,$D69:$AS69)</f>
        <v>1710277</v>
      </c>
      <c r="BD69" s="14"/>
      <c r="BE69" s="14" t="n">
        <f aca="false">SUM(D69:AS69)</f>
        <v>10638010</v>
      </c>
    </row>
    <row r="70" customFormat="false" ht="12.75" hidden="false" customHeight="true" outlineLevel="0" collapsed="false">
      <c r="A70" s="1" t="s">
        <v>72</v>
      </c>
      <c r="B70" s="1" t="n">
        <v>2023</v>
      </c>
      <c r="C70" s="1" t="s">
        <v>53</v>
      </c>
      <c r="D70" s="14" t="n">
        <v>195783</v>
      </c>
      <c r="E70" s="14" t="n">
        <v>325978</v>
      </c>
      <c r="F70" s="14" t="n">
        <v>189850</v>
      </c>
      <c r="G70" s="14" t="n">
        <v>298272</v>
      </c>
      <c r="H70" s="14" t="n">
        <v>211300</v>
      </c>
      <c r="I70" s="14" t="n">
        <v>82396</v>
      </c>
      <c r="J70" s="14" t="n">
        <v>98471</v>
      </c>
      <c r="K70" s="14"/>
      <c r="L70" s="14"/>
      <c r="M70" s="14"/>
      <c r="N70" s="14"/>
      <c r="O70" s="14" t="n">
        <v>349052</v>
      </c>
      <c r="P70" s="14" t="n">
        <v>544421</v>
      </c>
      <c r="Q70" s="14" t="n">
        <v>687197</v>
      </c>
      <c r="R70" s="14" t="n">
        <v>419910</v>
      </c>
      <c r="S70" s="14" t="n">
        <v>503719</v>
      </c>
      <c r="T70" s="14"/>
      <c r="U70" s="14"/>
      <c r="V70" s="14"/>
      <c r="W70" s="14"/>
      <c r="X70" s="14"/>
      <c r="Y70" s="14"/>
      <c r="Z70" s="14"/>
      <c r="AA70" s="14" t="n">
        <v>119424</v>
      </c>
      <c r="AB70" s="14" t="n">
        <v>0</v>
      </c>
      <c r="AC70" s="14"/>
      <c r="AD70" s="14" t="n">
        <v>0</v>
      </c>
      <c r="AE70" s="14" t="n">
        <v>161521</v>
      </c>
      <c r="AF70" s="14" t="n">
        <v>106895</v>
      </c>
      <c r="AG70" s="14" t="n">
        <v>185400</v>
      </c>
      <c r="AH70" s="14" t="n">
        <v>129163</v>
      </c>
      <c r="AI70" s="14" t="n">
        <v>128914</v>
      </c>
      <c r="AJ70" s="14"/>
      <c r="AK70" s="14"/>
      <c r="AL70" s="14" t="n">
        <v>322261</v>
      </c>
      <c r="AM70" s="14" t="n">
        <v>490727</v>
      </c>
      <c r="AN70" s="14" t="n">
        <v>207427</v>
      </c>
      <c r="AO70" s="14" t="n">
        <v>477826</v>
      </c>
      <c r="AP70" s="14" t="n">
        <v>341017</v>
      </c>
      <c r="AQ70" s="14" t="n">
        <v>520369</v>
      </c>
      <c r="AR70" s="14" t="n">
        <v>121209</v>
      </c>
      <c r="AS70" s="14"/>
      <c r="AT70" s="14"/>
      <c r="AU70" s="14"/>
      <c r="AV70" s="14"/>
      <c r="AW70" s="14"/>
      <c r="AX70" s="14"/>
      <c r="AY70" s="14" t="n">
        <f aca="false">SUMIF($D$4:$AS$4, AY$4,$D70:$AS70)</f>
        <v>2480836</v>
      </c>
      <c r="AZ70" s="14" t="n">
        <f aca="false">SUMIF($D$4:$AS$4, AZ$4,$D70:$AS70)</f>
        <v>1402050</v>
      </c>
      <c r="BA70" s="14" t="n">
        <f aca="false">SUMIF($D$4:$AS$4, BA$4,$D70:$AS70)</f>
        <v>2504299</v>
      </c>
      <c r="BB70" s="14" t="n">
        <f aca="false">SUMIF($D$4:$AS$4, BB$4,$D70:$AS70)</f>
        <v>119424</v>
      </c>
      <c r="BC70" s="14" t="n">
        <f aca="false">SUMIF($D$4:$AS$4, BC$4,$D70:$AS70)</f>
        <v>711893</v>
      </c>
      <c r="BD70" s="14"/>
      <c r="BE70" s="14" t="n">
        <f aca="false">SUM(D70:AS70)</f>
        <v>7218502</v>
      </c>
    </row>
    <row r="71" customFormat="false" ht="12.75" hidden="false" customHeight="true" outlineLevel="0" collapsed="false">
      <c r="A71" s="1" t="s">
        <v>57</v>
      </c>
      <c r="B71" s="1" t="n">
        <v>2023</v>
      </c>
      <c r="C71" s="1" t="s">
        <v>52</v>
      </c>
      <c r="D71" s="14" t="n">
        <v>125244</v>
      </c>
      <c r="E71" s="14"/>
      <c r="F71" s="14"/>
      <c r="G71" s="14" t="n">
        <v>132000</v>
      </c>
      <c r="H71" s="14" t="n">
        <v>132000</v>
      </c>
      <c r="I71" s="14"/>
      <c r="J71" s="14"/>
      <c r="K71" s="14"/>
      <c r="L71" s="14"/>
      <c r="M71" s="14"/>
      <c r="N71" s="14"/>
      <c r="O71" s="14" t="n">
        <v>400000</v>
      </c>
      <c r="P71" s="14"/>
      <c r="Q71" s="14"/>
      <c r="R71" s="14"/>
      <c r="S71" s="14" t="n">
        <v>129000</v>
      </c>
      <c r="T71" s="14"/>
      <c r="U71" s="14"/>
      <c r="V71" s="14"/>
      <c r="W71" s="14"/>
      <c r="X71" s="14"/>
      <c r="Y71" s="14"/>
      <c r="Z71" s="14"/>
      <c r="AA71" s="14"/>
      <c r="AB71" s="14" t="n">
        <v>266267</v>
      </c>
      <c r="AC71" s="14"/>
      <c r="AD71" s="14" t="n">
        <v>340067</v>
      </c>
      <c r="AE71" s="14" t="n">
        <v>390884</v>
      </c>
      <c r="AF71" s="14" t="n">
        <v>295294</v>
      </c>
      <c r="AG71" s="14"/>
      <c r="AH71" s="14"/>
      <c r="AI71" s="14"/>
      <c r="AJ71" s="14"/>
      <c r="AK71" s="14"/>
      <c r="AL71" s="14" t="n">
        <v>16790</v>
      </c>
      <c r="AM71" s="14" t="n">
        <v>310594</v>
      </c>
      <c r="AN71" s="14"/>
      <c r="AO71" s="14"/>
      <c r="AP71" s="14"/>
      <c r="AQ71" s="14" t="n">
        <v>110400</v>
      </c>
      <c r="AR71" s="14"/>
      <c r="AS71" s="14"/>
      <c r="AT71" s="14"/>
      <c r="AU71" s="14"/>
      <c r="AV71" s="14"/>
      <c r="AW71" s="14"/>
      <c r="AX71" s="14"/>
      <c r="AY71" s="14" t="n">
        <f aca="false">SUMIF($D$4:$AS$4, AY$4,$D71:$AS71)</f>
        <v>437784</v>
      </c>
      <c r="AZ71" s="14" t="n">
        <f aca="false">SUMIF($D$4:$AS$4, AZ$4,$D71:$AS71)</f>
        <v>389244</v>
      </c>
      <c r="BA71" s="14" t="n">
        <f aca="false">SUMIF($D$4:$AS$4, BA$4,$D71:$AS71)</f>
        <v>529000</v>
      </c>
      <c r="BB71" s="14" t="n">
        <f aca="false">SUMIF($D$4:$AS$4, BB$4,$D71:$AS71)</f>
        <v>266267</v>
      </c>
      <c r="BC71" s="14" t="n">
        <f aca="false">SUMIF($D$4:$AS$4, BC$4,$D71:$AS71)</f>
        <v>1026245</v>
      </c>
      <c r="BD71" s="14"/>
      <c r="BE71" s="14" t="n">
        <f aca="false">SUM(D71:AS71)</f>
        <v>2648540</v>
      </c>
    </row>
    <row r="72" customFormat="false" ht="12.75" hidden="false" customHeight="true" outlineLevel="0" collapsed="false">
      <c r="A72" s="1" t="s">
        <v>57</v>
      </c>
      <c r="B72" s="1" t="n">
        <v>2023</v>
      </c>
      <c r="C72" s="1" t="s">
        <v>53</v>
      </c>
      <c r="D72" s="14" t="n">
        <v>121597</v>
      </c>
      <c r="E72" s="14"/>
      <c r="F72" s="14" t="n">
        <v>0</v>
      </c>
      <c r="G72" s="14" t="n">
        <v>21515</v>
      </c>
      <c r="H72" s="14" t="n">
        <v>137535</v>
      </c>
      <c r="I72" s="14"/>
      <c r="J72" s="14" t="n">
        <v>59171</v>
      </c>
      <c r="K72" s="14"/>
      <c r="L72" s="14"/>
      <c r="M72" s="14"/>
      <c r="N72" s="14"/>
      <c r="O72" s="14" t="n">
        <v>289715</v>
      </c>
      <c r="P72" s="14" t="n">
        <v>0</v>
      </c>
      <c r="Q72" s="14" t="n">
        <v>0</v>
      </c>
      <c r="R72" s="14" t="n">
        <v>0</v>
      </c>
      <c r="S72" s="14" t="n">
        <v>147155</v>
      </c>
      <c r="T72" s="14"/>
      <c r="U72" s="14"/>
      <c r="V72" s="14"/>
      <c r="W72" s="14"/>
      <c r="X72" s="14"/>
      <c r="Y72" s="14"/>
      <c r="Z72" s="14"/>
      <c r="AA72" s="14" t="n">
        <v>0</v>
      </c>
      <c r="AB72" s="14" t="n">
        <v>282093</v>
      </c>
      <c r="AC72" s="14"/>
      <c r="AD72" s="14" t="n">
        <v>235996</v>
      </c>
      <c r="AE72" s="14" t="n">
        <v>365291</v>
      </c>
      <c r="AF72" s="14" t="n">
        <v>257351</v>
      </c>
      <c r="AG72" s="14" t="n">
        <v>0</v>
      </c>
      <c r="AH72" s="14" t="n">
        <v>0</v>
      </c>
      <c r="AI72" s="14" t="n">
        <v>0</v>
      </c>
      <c r="AJ72" s="14"/>
      <c r="AK72" s="14"/>
      <c r="AL72" s="14" t="n">
        <v>29475</v>
      </c>
      <c r="AM72" s="14" t="n">
        <v>147447</v>
      </c>
      <c r="AN72" s="14"/>
      <c r="AO72" s="14"/>
      <c r="AP72" s="14"/>
      <c r="AQ72" s="14" t="n">
        <v>79973</v>
      </c>
      <c r="AR72" s="14"/>
      <c r="AS72" s="14"/>
      <c r="AT72" s="14"/>
      <c r="AU72" s="14"/>
      <c r="AV72" s="14"/>
      <c r="AW72" s="14"/>
      <c r="AX72" s="14"/>
      <c r="AY72" s="14" t="n">
        <f aca="false">SUMIF($D$4:$AS$4, AY$4,$D72:$AS72)</f>
        <v>256895</v>
      </c>
      <c r="AZ72" s="14" t="n">
        <f aca="false">SUMIF($D$4:$AS$4, AZ$4,$D72:$AS72)</f>
        <v>339818</v>
      </c>
      <c r="BA72" s="14" t="n">
        <f aca="false">SUMIF($D$4:$AS$4, BA$4,$D72:$AS72)</f>
        <v>436870</v>
      </c>
      <c r="BB72" s="14" t="n">
        <f aca="false">SUMIF($D$4:$AS$4, BB$4,$D72:$AS72)</f>
        <v>282093</v>
      </c>
      <c r="BC72" s="14" t="n">
        <f aca="false">SUMIF($D$4:$AS$4, BC$4,$D72:$AS72)</f>
        <v>858638</v>
      </c>
      <c r="BD72" s="14"/>
      <c r="BE72" s="14" t="n">
        <f aca="false">SUM(D72:AS72)</f>
        <v>2174314</v>
      </c>
      <c r="BG72" s="2"/>
      <c r="BH72" s="2"/>
      <c r="BI72" s="2"/>
      <c r="BJ72" s="2"/>
    </row>
    <row r="73" customFormat="false" ht="12.75" hidden="false" customHeight="true" outlineLevel="0" collapsed="false">
      <c r="A73" s="1" t="s">
        <v>58</v>
      </c>
      <c r="B73" s="1" t="n">
        <v>2023</v>
      </c>
      <c r="C73" s="1" t="s">
        <v>52</v>
      </c>
      <c r="D73" s="14" t="n">
        <v>231585</v>
      </c>
      <c r="E73" s="14"/>
      <c r="F73" s="14" t="n">
        <v>153317</v>
      </c>
      <c r="G73" s="14"/>
      <c r="H73" s="14"/>
      <c r="I73" s="14" t="n">
        <v>345119</v>
      </c>
      <c r="J73" s="14" t="n">
        <v>387257</v>
      </c>
      <c r="K73" s="14"/>
      <c r="L73" s="14"/>
      <c r="M73" s="14"/>
      <c r="N73" s="14"/>
      <c r="O73" s="14"/>
      <c r="P73" s="14" t="n">
        <v>333612</v>
      </c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 t="n">
        <v>40000</v>
      </c>
      <c r="AC73" s="14"/>
      <c r="AD73" s="14" t="n">
        <v>203075</v>
      </c>
      <c r="AE73" s="14" t="n">
        <v>165601</v>
      </c>
      <c r="AF73" s="14" t="n">
        <v>142524</v>
      </c>
      <c r="AG73" s="14" t="n">
        <v>128000</v>
      </c>
      <c r="AH73" s="14" t="n">
        <v>129000</v>
      </c>
      <c r="AI73" s="14" t="n">
        <v>129347</v>
      </c>
      <c r="AJ73" s="14"/>
      <c r="AK73" s="14"/>
      <c r="AL73" s="14"/>
      <c r="AM73" s="14" t="n">
        <v>52000</v>
      </c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 t="n">
        <f aca="false">SUMIF($D$4:$AS$4, AY$4,$D73:$AS73)</f>
        <v>52000</v>
      </c>
      <c r="AZ73" s="14" t="n">
        <f aca="false">SUMIF($D$4:$AS$4, AZ$4,$D73:$AS73)</f>
        <v>1117278</v>
      </c>
      <c r="BA73" s="14" t="n">
        <f aca="false">SUMIF($D$4:$AS$4, BA$4,$D73:$AS73)</f>
        <v>333612</v>
      </c>
      <c r="BB73" s="14" t="n">
        <f aca="false">SUMIF($D$4:$AS$4, BB$4,$D73:$AS73)</f>
        <v>40000</v>
      </c>
      <c r="BC73" s="14" t="n">
        <f aca="false">SUMIF($D$4:$AS$4, BC$4,$D73:$AS73)</f>
        <v>897547</v>
      </c>
      <c r="BD73" s="14"/>
      <c r="BE73" s="14" t="n">
        <f aca="false">SUM(D73:AS73)</f>
        <v>2440437</v>
      </c>
      <c r="BG73" s="2"/>
      <c r="BH73" s="2"/>
      <c r="BI73" s="2"/>
      <c r="BJ73" s="2"/>
    </row>
    <row r="74" customFormat="false" ht="12.75" hidden="false" customHeight="true" outlineLevel="0" collapsed="false">
      <c r="A74" s="1" t="s">
        <v>58</v>
      </c>
      <c r="B74" s="1" t="n">
        <v>2023</v>
      </c>
      <c r="C74" s="1" t="s">
        <v>53</v>
      </c>
      <c r="D74" s="14" t="n">
        <v>276413</v>
      </c>
      <c r="E74" s="14"/>
      <c r="F74" s="14" t="n">
        <v>125766</v>
      </c>
      <c r="G74" s="14"/>
      <c r="H74" s="14" t="n">
        <v>0</v>
      </c>
      <c r="I74" s="14" t="n">
        <v>168783</v>
      </c>
      <c r="J74" s="14" t="n">
        <v>174963</v>
      </c>
      <c r="K74" s="14"/>
      <c r="L74" s="14"/>
      <c r="M74" s="14"/>
      <c r="N74" s="14"/>
      <c r="O74" s="14" t="n">
        <v>0</v>
      </c>
      <c r="P74" s="14" t="n">
        <v>300935</v>
      </c>
      <c r="Q74" s="14" t="n">
        <v>0</v>
      </c>
      <c r="R74" s="14" t="n">
        <v>0</v>
      </c>
      <c r="S74" s="14" t="n">
        <v>0</v>
      </c>
      <c r="T74" s="14"/>
      <c r="U74" s="14"/>
      <c r="V74" s="14"/>
      <c r="W74" s="14"/>
      <c r="X74" s="14"/>
      <c r="Y74" s="14"/>
      <c r="Z74" s="14"/>
      <c r="AA74" s="14" t="n">
        <v>0</v>
      </c>
      <c r="AB74" s="14" t="n">
        <v>39885</v>
      </c>
      <c r="AC74" s="14"/>
      <c r="AD74" s="14" t="n">
        <v>195787</v>
      </c>
      <c r="AE74" s="14" t="n">
        <v>41200</v>
      </c>
      <c r="AF74" s="14" t="n">
        <v>139005</v>
      </c>
      <c r="AG74" s="14" t="n">
        <v>161773</v>
      </c>
      <c r="AH74" s="14" t="n">
        <v>103082</v>
      </c>
      <c r="AI74" s="14" t="n">
        <v>131156</v>
      </c>
      <c r="AJ74" s="14"/>
      <c r="AK74" s="14"/>
      <c r="AL74" s="14"/>
      <c r="AM74" s="14" t="n">
        <v>0</v>
      </c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 t="n">
        <f aca="false">SUMIF($D$4:$AS$4, AY$4,$D74:$AS74)</f>
        <v>0</v>
      </c>
      <c r="AZ74" s="14" t="n">
        <f aca="false">SUMIF($D$4:$AS$4, AZ$4,$D74:$AS74)</f>
        <v>745925</v>
      </c>
      <c r="BA74" s="14" t="n">
        <f aca="false">SUMIF($D$4:$AS$4, BA$4,$D74:$AS74)</f>
        <v>300935</v>
      </c>
      <c r="BB74" s="14" t="n">
        <f aca="false">SUMIF($D$4:$AS$4, BB$4,$D74:$AS74)</f>
        <v>39885</v>
      </c>
      <c r="BC74" s="14" t="n">
        <f aca="false">SUMIF($D$4:$AS$4, BC$4,$D74:$AS74)</f>
        <v>772003</v>
      </c>
      <c r="BD74" s="14"/>
      <c r="BE74" s="14" t="n">
        <f aca="false">SUM(D74:AS74)</f>
        <v>1858748</v>
      </c>
      <c r="BG74" s="2"/>
      <c r="BH74" s="2"/>
      <c r="BI74" s="2"/>
      <c r="BJ74" s="2"/>
    </row>
    <row r="75" customFormat="false" ht="12.75" hidden="false" customHeight="true" outlineLevel="0" collapsed="false">
      <c r="A75" s="1" t="s">
        <v>59</v>
      </c>
      <c r="B75" s="1" t="n">
        <v>2023</v>
      </c>
      <c r="C75" s="1" t="s">
        <v>52</v>
      </c>
      <c r="D75" s="14" t="n">
        <v>1234418</v>
      </c>
      <c r="E75" s="14" t="n">
        <v>597825</v>
      </c>
      <c r="F75" s="14" t="n">
        <v>334338</v>
      </c>
      <c r="G75" s="14" t="n">
        <v>923424</v>
      </c>
      <c r="H75" s="14" t="n">
        <v>660892</v>
      </c>
      <c r="I75" s="14" t="n">
        <v>1698754</v>
      </c>
      <c r="J75" s="14" t="n">
        <v>977387</v>
      </c>
      <c r="K75" s="14"/>
      <c r="L75" s="14"/>
      <c r="M75" s="14"/>
      <c r="N75" s="14"/>
      <c r="O75" s="14" t="n">
        <v>944895</v>
      </c>
      <c r="P75" s="14" t="n">
        <v>834547</v>
      </c>
      <c r="Q75" s="14" t="n">
        <v>1128365</v>
      </c>
      <c r="R75" s="14" t="n">
        <v>190906</v>
      </c>
      <c r="S75" s="14" t="n">
        <v>620808</v>
      </c>
      <c r="T75" s="14"/>
      <c r="U75" s="14"/>
      <c r="V75" s="14"/>
      <c r="W75" s="14"/>
      <c r="X75" s="14"/>
      <c r="Y75" s="14"/>
      <c r="Z75" s="14"/>
      <c r="AA75" s="14" t="n">
        <v>270601</v>
      </c>
      <c r="AB75" s="14" t="n">
        <v>400711</v>
      </c>
      <c r="AC75" s="14"/>
      <c r="AD75" s="14" t="n">
        <v>1403940</v>
      </c>
      <c r="AE75" s="14" t="n">
        <v>932204</v>
      </c>
      <c r="AF75" s="14" t="n">
        <v>301000</v>
      </c>
      <c r="AG75" s="14" t="n">
        <v>1348792</v>
      </c>
      <c r="AH75" s="14" t="n">
        <v>1797002</v>
      </c>
      <c r="AI75" s="14" t="n">
        <v>1200604</v>
      </c>
      <c r="AJ75" s="14"/>
      <c r="AK75" s="14"/>
      <c r="AL75" s="14" t="n">
        <v>924533</v>
      </c>
      <c r="AM75" s="14" t="n">
        <v>453837</v>
      </c>
      <c r="AN75" s="14" t="n">
        <v>1030039</v>
      </c>
      <c r="AO75" s="14" t="n">
        <v>1413633</v>
      </c>
      <c r="AP75" s="14" t="n">
        <v>1013751</v>
      </c>
      <c r="AQ75" s="14" t="n">
        <v>889965</v>
      </c>
      <c r="AR75" s="14" t="n">
        <v>917522</v>
      </c>
      <c r="AS75" s="14"/>
      <c r="AT75" s="14"/>
      <c r="AU75" s="14"/>
      <c r="AV75" s="14"/>
      <c r="AW75" s="14"/>
      <c r="AX75" s="14"/>
      <c r="AY75" s="14" t="n">
        <f aca="false">SUMIF($D$4:$AS$4, AY$4,$D75:$AS75)</f>
        <v>6643280</v>
      </c>
      <c r="AZ75" s="14" t="n">
        <f aca="false">SUMIF($D$4:$AS$4, AZ$4,$D75:$AS75)</f>
        <v>6427038</v>
      </c>
      <c r="BA75" s="14" t="n">
        <f aca="false">SUMIF($D$4:$AS$4, BA$4,$D75:$AS75)</f>
        <v>3719521</v>
      </c>
      <c r="BB75" s="14" t="n">
        <f aca="false">SUMIF($D$4:$AS$4, BB$4,$D75:$AS75)</f>
        <v>671312</v>
      </c>
      <c r="BC75" s="14" t="n">
        <f aca="false">SUMIF($D$4:$AS$4, BC$4,$D75:$AS75)</f>
        <v>6983542</v>
      </c>
      <c r="BD75" s="14"/>
      <c r="BE75" s="14" t="n">
        <f aca="false">SUM(D75:AS75)</f>
        <v>24444693</v>
      </c>
      <c r="BG75" s="2"/>
      <c r="BH75" s="2"/>
      <c r="BI75" s="2"/>
      <c r="BJ75" s="2"/>
    </row>
    <row r="76" customFormat="false" ht="12.75" hidden="false" customHeight="true" outlineLevel="0" collapsed="false">
      <c r="A76" s="1" t="s">
        <v>59</v>
      </c>
      <c r="B76" s="1" t="n">
        <v>2023</v>
      </c>
      <c r="C76" s="1" t="s">
        <v>53</v>
      </c>
      <c r="D76" s="14" t="n">
        <v>1382733</v>
      </c>
      <c r="E76" s="14" t="n">
        <v>675999</v>
      </c>
      <c r="F76" s="14" t="n">
        <v>425031</v>
      </c>
      <c r="G76" s="14" t="n">
        <v>1080468</v>
      </c>
      <c r="H76" s="14" t="n">
        <v>848329</v>
      </c>
      <c r="I76" s="14" t="n">
        <v>1156838</v>
      </c>
      <c r="J76" s="14" t="n">
        <v>1174934</v>
      </c>
      <c r="K76" s="14"/>
      <c r="L76" s="14"/>
      <c r="M76" s="14"/>
      <c r="N76" s="14"/>
      <c r="O76" s="14" t="n">
        <v>1254952</v>
      </c>
      <c r="P76" s="14" t="n">
        <v>1097039</v>
      </c>
      <c r="Q76" s="14" t="n">
        <v>1213362</v>
      </c>
      <c r="R76" s="14" t="n">
        <v>427488</v>
      </c>
      <c r="S76" s="14" t="n">
        <v>908204</v>
      </c>
      <c r="T76" s="14"/>
      <c r="U76" s="14"/>
      <c r="V76" s="14"/>
      <c r="W76" s="14"/>
      <c r="X76" s="14"/>
      <c r="Y76" s="14"/>
      <c r="Z76" s="14"/>
      <c r="AA76" s="14" t="n">
        <v>220313</v>
      </c>
      <c r="AB76" s="14" t="n">
        <v>391661</v>
      </c>
      <c r="AC76" s="14"/>
      <c r="AD76" s="14" t="n">
        <v>1041108</v>
      </c>
      <c r="AE76" s="14" t="n">
        <v>1106261</v>
      </c>
      <c r="AF76" s="14" t="n">
        <v>312667</v>
      </c>
      <c r="AG76" s="14" t="n">
        <v>1385623</v>
      </c>
      <c r="AH76" s="14" t="n">
        <v>1509869</v>
      </c>
      <c r="AI76" s="14" t="n">
        <v>1152758</v>
      </c>
      <c r="AJ76" s="14"/>
      <c r="AK76" s="14"/>
      <c r="AL76" s="14" t="n">
        <v>1854355</v>
      </c>
      <c r="AM76" s="14" t="n">
        <v>1327032</v>
      </c>
      <c r="AN76" s="14" t="n">
        <v>1402178</v>
      </c>
      <c r="AO76" s="14" t="n">
        <v>1926934</v>
      </c>
      <c r="AP76" s="14" t="n">
        <v>1467332</v>
      </c>
      <c r="AQ76" s="14" t="n">
        <v>1524520</v>
      </c>
      <c r="AR76" s="14" t="n">
        <v>522930</v>
      </c>
      <c r="AS76" s="14"/>
      <c r="AT76" s="14"/>
      <c r="AU76" s="14"/>
      <c r="AV76" s="14"/>
      <c r="AW76" s="14"/>
      <c r="AX76" s="14"/>
      <c r="AY76" s="14" t="n">
        <f aca="false">SUMIF($D$4:$AS$4, AY$4,$D76:$AS76)</f>
        <v>10025281</v>
      </c>
      <c r="AZ76" s="14" t="n">
        <f aca="false">SUMIF($D$4:$AS$4, AZ$4,$D76:$AS76)</f>
        <v>6744332</v>
      </c>
      <c r="BA76" s="14" t="n">
        <f aca="false">SUMIF($D$4:$AS$4, BA$4,$D76:$AS76)</f>
        <v>4901045</v>
      </c>
      <c r="BB76" s="14" t="n">
        <f aca="false">SUMIF($D$4:$AS$4, BB$4,$D76:$AS76)</f>
        <v>611974</v>
      </c>
      <c r="BC76" s="14" t="n">
        <f aca="false">SUMIF($D$4:$AS$4, BC$4,$D76:$AS76)</f>
        <v>6508286</v>
      </c>
      <c r="BD76" s="14"/>
      <c r="BE76" s="14" t="n">
        <f aca="false">SUM(D76:AS76)</f>
        <v>28790918</v>
      </c>
      <c r="BG76" s="2"/>
      <c r="BH76" s="2"/>
      <c r="BI76" s="2"/>
      <c r="BJ76" s="2"/>
    </row>
    <row r="77" customFormat="false" ht="12.75" hidden="false" customHeight="true" outlineLevel="0" collapsed="false">
      <c r="A77" s="1" t="s">
        <v>73</v>
      </c>
      <c r="B77" s="1" t="n">
        <v>2023</v>
      </c>
      <c r="C77" s="1" t="s">
        <v>61</v>
      </c>
      <c r="D77" s="14" t="n">
        <v>32790</v>
      </c>
      <c r="E77" s="14" t="n">
        <v>23603</v>
      </c>
      <c r="F77" s="14" t="n">
        <v>20328</v>
      </c>
      <c r="G77" s="14" t="n">
        <v>26128</v>
      </c>
      <c r="H77" s="14" t="n">
        <v>27253</v>
      </c>
      <c r="I77" s="14" t="n">
        <v>34974</v>
      </c>
      <c r="J77" s="14" t="n">
        <v>12505</v>
      </c>
      <c r="K77" s="14"/>
      <c r="L77" s="14"/>
      <c r="M77" s="14"/>
      <c r="N77" s="14"/>
      <c r="O77" s="14" t="n">
        <v>31535</v>
      </c>
      <c r="P77" s="14" t="n">
        <v>25890</v>
      </c>
      <c r="Q77" s="14" t="n">
        <v>45451</v>
      </c>
      <c r="R77" s="14" t="n">
        <v>5084</v>
      </c>
      <c r="S77" s="14" t="n">
        <v>21472</v>
      </c>
      <c r="T77" s="14" t="n">
        <v>19615</v>
      </c>
      <c r="U77" s="14" t="n">
        <v>20845</v>
      </c>
      <c r="V77" s="14"/>
      <c r="W77" s="14"/>
      <c r="X77" s="14"/>
      <c r="Y77" s="14"/>
      <c r="Z77" s="14"/>
      <c r="AA77" s="14" t="n">
        <v>7076</v>
      </c>
      <c r="AB77" s="14" t="n">
        <v>39117</v>
      </c>
      <c r="AC77" s="14"/>
      <c r="AD77" s="14" t="n">
        <v>22013</v>
      </c>
      <c r="AE77" s="14" t="n">
        <v>26209</v>
      </c>
      <c r="AF77" s="14" t="n">
        <v>19519</v>
      </c>
      <c r="AG77" s="14" t="n">
        <v>23108</v>
      </c>
      <c r="AH77" s="14" t="n">
        <v>29919</v>
      </c>
      <c r="AI77" s="14" t="n">
        <v>23528</v>
      </c>
      <c r="AJ77" s="14"/>
      <c r="AK77" s="14"/>
      <c r="AL77" s="14" t="n">
        <v>20726</v>
      </c>
      <c r="AM77" s="14" t="n">
        <v>26133</v>
      </c>
      <c r="AN77" s="14" t="n">
        <v>16837</v>
      </c>
      <c r="AO77" s="14" t="n">
        <v>53588</v>
      </c>
      <c r="AP77" s="14" t="n">
        <v>18962</v>
      </c>
      <c r="AQ77" s="14" t="n">
        <v>14438</v>
      </c>
      <c r="AR77" s="14" t="n">
        <v>6099</v>
      </c>
      <c r="AS77" s="14"/>
      <c r="AT77" s="14"/>
      <c r="AU77" s="14"/>
      <c r="AV77" s="14"/>
      <c r="AW77" s="14"/>
      <c r="AX77" s="14"/>
      <c r="AY77" s="14" t="n">
        <f aca="false">SUMIF($D$4:$AS$4, AY$4,$D77:$AS77)</f>
        <v>156783</v>
      </c>
      <c r="AZ77" s="14" t="n">
        <f aca="false">SUMIF($D$4:$AS$4, AZ$4,$D77:$AS77)</f>
        <v>177581</v>
      </c>
      <c r="BA77" s="14" t="n">
        <f aca="false">SUMIF($D$4:$AS$4, BA$4,$D77:$AS77)</f>
        <v>169892</v>
      </c>
      <c r="BB77" s="14" t="n">
        <f aca="false">SUMIF($D$4:$AS$4, BB$4,$D77:$AS77)</f>
        <v>46193</v>
      </c>
      <c r="BC77" s="14" t="n">
        <f aca="false">SUMIF($D$4:$AS$4, BC$4,$D77:$AS77)</f>
        <v>144296</v>
      </c>
      <c r="BD77" s="14"/>
      <c r="BE77" s="14" t="n">
        <f aca="false">SUM(D77:AS77)</f>
        <v>694745</v>
      </c>
      <c r="BG77" s="2"/>
      <c r="BH77" s="2"/>
      <c r="BI77" s="2"/>
      <c r="BJ77" s="2"/>
    </row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>
      <c r="G85" s="1" t="s">
        <v>75</v>
      </c>
    </row>
    <row r="86" customFormat="false" ht="12.75" hidden="false" customHeight="true" outlineLevel="0" collapsed="false">
      <c r="A86" s="11" t="s">
        <v>76</v>
      </c>
      <c r="B86" s="12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2"/>
      <c r="BJ86" s="2"/>
    </row>
    <row r="87" customFormat="false" ht="12.75" hidden="false" customHeight="true" outlineLevel="0" collapsed="false"/>
    <row r="88" customFormat="false" ht="12.75" hidden="false" customHeight="true" outlineLevel="0" collapsed="false">
      <c r="A88" s="1" t="s">
        <v>77</v>
      </c>
      <c r="B88" s="1" t="n">
        <v>2025</v>
      </c>
      <c r="C88" s="1" t="s">
        <v>52</v>
      </c>
      <c r="D88" s="14" t="n">
        <f aca="false">SUMIF($C$10:$C$23, $C88, D$10:D$23)</f>
        <v>3798971.61</v>
      </c>
      <c r="E88" s="14" t="n">
        <f aca="false">SUMIF($C$10:$C$23, $C88, E$10:E$23)</f>
        <v>1482795.3</v>
      </c>
      <c r="F88" s="14" t="n">
        <f aca="false">SUMIF($C$10:$C$23, $C88, F$10:F$23)</f>
        <v>3270494.2</v>
      </c>
      <c r="G88" s="14" t="n">
        <f aca="false">SUMIF($C$10:$C$23, $C88, G$10:G$23)</f>
        <v>3880788.5</v>
      </c>
      <c r="H88" s="14" t="n">
        <f aca="false">SUMIF($C$10:$C$23, $C88, H$10:H$23)</f>
        <v>3779303.5</v>
      </c>
      <c r="I88" s="14" t="n">
        <f aca="false">SUMIF($C$10:$C$23, $C88, I$10:I$23)</f>
        <v>4665479.85</v>
      </c>
      <c r="J88" s="14" t="n">
        <f aca="false">SUMIF($C$10:$C$23, $C88, J$10:J$23)</f>
        <v>5511601.92</v>
      </c>
      <c r="K88" s="14" t="n">
        <f aca="false">SUMIF($C$10:$C$23, $C88, K$10:K$23)</f>
        <v>1253176.42</v>
      </c>
      <c r="L88" s="14" t="n">
        <f aca="false">SUMIF($C$10:$C$23, $C88, L$10:L$23)</f>
        <v>1383408.79</v>
      </c>
      <c r="M88" s="14" t="n">
        <f aca="false">SUMIF($C$10:$C$23, $C88, M$10:M$23)</f>
        <v>4301366.34</v>
      </c>
      <c r="N88" s="14"/>
      <c r="O88" s="14" t="n">
        <f aca="false">SUMIF($C$10:$C$23, $C88, O$10:O$23)</f>
        <v>4682430.25</v>
      </c>
      <c r="P88" s="14" t="n">
        <f aca="false">SUMIF($C$10:$C$23, $C88, P$10:P$23)</f>
        <v>3740346.72</v>
      </c>
      <c r="Q88" s="14" t="n">
        <f aca="false">SUMIF($C$10:$C$23, $C88, Q$10:Q$23)</f>
        <v>4584345.31</v>
      </c>
      <c r="R88" s="14" t="n">
        <f aca="false">SUMIF($C$10:$C$23, $C88, R$10:R$23)</f>
        <v>1450019</v>
      </c>
      <c r="S88" s="14" t="n">
        <f aca="false">SUMIF($C$10:$C$23, $C88, S$10:S$23)</f>
        <v>3515603.07</v>
      </c>
      <c r="T88" s="14" t="n">
        <f aca="false">SUMIF($C$10:$C$23, $C88, T$10:T$23)</f>
        <v>3231015.32</v>
      </c>
      <c r="U88" s="14" t="n">
        <f aca="false">SUMIF($C$10:$C$23, $C88, U$10:U$23)</f>
        <v>3774974.8</v>
      </c>
      <c r="V88" s="14" t="n">
        <f aca="false">SUMIF($C$10:$C$23, $C88, V$10:V$23)</f>
        <v>3326738.53</v>
      </c>
      <c r="W88" s="14" t="n">
        <f aca="false">SUMIF($C$10:$C$23, $C88, W$10:W$23)</f>
        <v>6641760.45</v>
      </c>
      <c r="X88" s="14" t="n">
        <f aca="false">SUMIF($C$10:$C$23, $C88, X$10:X$23)</f>
        <v>6332458.29</v>
      </c>
      <c r="Y88" s="14" t="n">
        <f aca="false">SUMIF($C$10:$C$23, $C88, Y$10:Y$23)</f>
        <v>3671854.45</v>
      </c>
      <c r="Z88" s="14"/>
      <c r="AA88" s="14" t="n">
        <f aca="false">SUMIF($C$10:$C$23, $C88, AA$10:AA$23)</f>
        <v>970517.36</v>
      </c>
      <c r="AB88" s="14" t="n">
        <f aca="false">SUMIF($C$10:$C$23, $C88, AB$10:AB$23)</f>
        <v>1647147.82</v>
      </c>
      <c r="AC88" s="14"/>
      <c r="AD88" s="14" t="n">
        <f aca="false">SUMIF($C$10:$C$23, $C88, AD$10:AD$23)</f>
        <v>3445669.99</v>
      </c>
      <c r="AE88" s="14" t="n">
        <f aca="false">SUMIF($C$10:$C$23, $C88, AE$10:AE$23)</f>
        <v>3377712</v>
      </c>
      <c r="AF88" s="14" t="n">
        <f aca="false">SUMIF($C$10:$C$23, $C88, AF$10:AF$23)</f>
        <v>0</v>
      </c>
      <c r="AG88" s="14" t="n">
        <f aca="false">SUMIF($C$10:$C$23, $C88, AG$10:AG$23)</f>
        <v>4592666.54</v>
      </c>
      <c r="AH88" s="14" t="n">
        <f aca="false">SUMIF($C$10:$C$23, $C88, AH$10:AH$23)</f>
        <v>7252107</v>
      </c>
      <c r="AI88" s="14" t="n">
        <f aca="false">SUMIF($C$10:$C$23, $C88, AI$10:AI$23)</f>
        <v>4585940.88</v>
      </c>
      <c r="AJ88" s="14" t="n">
        <f aca="false">SUMIF($C$10:$C$23, $C88, AJ$10:AJ$23)</f>
        <v>7251169.96</v>
      </c>
      <c r="AK88" s="14"/>
      <c r="AL88" s="14" t="n">
        <f aca="false">SUMIF($C$10:$C$23, $C88, AL$10:AL$23)</f>
        <v>3636662.31</v>
      </c>
      <c r="AM88" s="14" t="n">
        <f aca="false">SUMIF($C$10:$C$23, $C88, AM$10:AM$23)</f>
        <v>2755834.28</v>
      </c>
      <c r="AN88" s="14" t="n">
        <f aca="false">SUMIF($C$10:$C$23, $C88, AN$10:AN$23)</f>
        <v>4027634.88</v>
      </c>
      <c r="AO88" s="14" t="n">
        <f aca="false">SUMIF($C$10:$C$23, $C88, AO$10:AO$23)</f>
        <v>8060406.22</v>
      </c>
      <c r="AP88" s="14" t="n">
        <f aca="false">SUMIF($C$10:$C$23, $C88, AP$10:AP$23)</f>
        <v>3996391.25</v>
      </c>
      <c r="AQ88" s="14" t="n">
        <f aca="false">SUMIF($C$10:$C$23, $C88, AQ$10:AQ$23)</f>
        <v>4192589.75</v>
      </c>
      <c r="AR88" s="14" t="n">
        <f aca="false">SUMIF($C$10:$C$23, $C88, AR$10:AR$23)</f>
        <v>5073790.9</v>
      </c>
      <c r="AS88" s="14" t="n">
        <f aca="false">SUMIF($C$10:$C$23, $C88, AS$10:AS$23)</f>
        <v>1146371.06</v>
      </c>
      <c r="AT88" s="14" t="n">
        <f aca="false">SUMIF($C$10:$C$23, $C88, AT$10:AT$23)</f>
        <v>1079853</v>
      </c>
      <c r="AU88" s="14" t="n">
        <f aca="false">SUMIF($C$10:$C$23, $C88, AU$10:AU$23)</f>
        <v>697349.18</v>
      </c>
      <c r="AV88" s="14" t="n">
        <f aca="false">SUMIF($C$10:$C$23, $C88, AV$10:AV$23)</f>
        <v>5145456.22</v>
      </c>
      <c r="AW88" s="14" t="n">
        <f aca="false">SUMIF($C$10:$C$23, $C88, AW$10:AW$23)</f>
        <v>4097785.89</v>
      </c>
      <c r="AX88" s="14"/>
      <c r="AY88" s="14" t="n">
        <f aca="false">SUMIF($C$10:$C$23, $C88, AY$10:AY$23)</f>
        <v>43910124.94</v>
      </c>
      <c r="AZ88" s="14" t="n">
        <f aca="false">SUMIF($C$10:$C$23, $C88, AZ$10:AZ$23)</f>
        <v>33327386.43</v>
      </c>
      <c r="BA88" s="14" t="n">
        <f aca="false">SUMIF($C$10:$C$23, $C88, BA$10:BA$23)</f>
        <v>44951546.19</v>
      </c>
      <c r="BB88" s="14" t="n">
        <f aca="false">SUMIF($C$10:$C$23, $C88, BB$10:BB$23)</f>
        <v>2617665.18</v>
      </c>
      <c r="BC88" s="14" t="n">
        <f aca="false">SUMIF($C$10:$C$23, $C88, BC$10:BC$23)</f>
        <v>30505266.37</v>
      </c>
      <c r="BD88" s="14"/>
      <c r="BE88" s="14" t="n">
        <f aca="false">SUMIF($C$10:$C$23, $C88, BE$10:BE$23)</f>
        <v>155311989.11</v>
      </c>
    </row>
    <row r="89" customFormat="false" ht="12.75" hidden="false" customHeight="true" outlineLevel="0" collapsed="false">
      <c r="A89" s="1" t="s">
        <v>77</v>
      </c>
      <c r="B89" s="1" t="n">
        <v>2025</v>
      </c>
      <c r="C89" s="1" t="s">
        <v>53</v>
      </c>
      <c r="D89" s="14" t="n">
        <f aca="false">SUMIF($C$10:$C$23, $C89, D$10:D$23)</f>
        <v>3599423.96</v>
      </c>
      <c r="E89" s="14" t="n">
        <f aca="false">SUMIF($C$10:$C$23, $C89, E$10:E$23)</f>
        <v>2514033.36</v>
      </c>
      <c r="F89" s="14" t="n">
        <f aca="false">SUMIF($C$10:$C$23, $C89, F$10:F$23)</f>
        <v>3770948.89</v>
      </c>
      <c r="G89" s="14" t="n">
        <f aca="false">SUMIF($C$10:$C$23, $C89, G$10:G$23)</f>
        <v>4654008.69</v>
      </c>
      <c r="H89" s="14" t="n">
        <f aca="false">SUMIF($C$10:$C$23, $C89, H$10:H$23)</f>
        <v>4317635.06</v>
      </c>
      <c r="I89" s="14" t="n">
        <f aca="false">SUMIF($C$10:$C$23, $C89, I$10:I$23)</f>
        <v>6614435.5</v>
      </c>
      <c r="J89" s="14" t="n">
        <f aca="false">SUMIF($C$10:$C$23, $C89, J$10:J$23)</f>
        <v>6595425.02</v>
      </c>
      <c r="K89" s="14" t="n">
        <f aca="false">SUMIF($C$10:$C$23, $C89, K$10:K$23)</f>
        <v>1634840.55</v>
      </c>
      <c r="L89" s="14" t="n">
        <f aca="false">SUMIF($C$10:$C$23, $C89, L$10:L$23)</f>
        <v>1679728.37</v>
      </c>
      <c r="M89" s="14" t="n">
        <f aca="false">SUMIF($C$10:$C$23, $C89, M$10:M$23)</f>
        <v>3894236.2</v>
      </c>
      <c r="N89" s="14"/>
      <c r="O89" s="14" t="n">
        <f aca="false">SUMIF($C$10:$C$23, $C89, O$10:O$23)</f>
        <v>5167463.45</v>
      </c>
      <c r="P89" s="14" t="n">
        <f aca="false">SUMIF($C$10:$C$23, $C89, P$10:P$23)</f>
        <v>4395437.23</v>
      </c>
      <c r="Q89" s="14" t="n">
        <f aca="false">SUMIF($C$10:$C$23, $C89, Q$10:Q$23)</f>
        <v>7126600.52</v>
      </c>
      <c r="R89" s="14" t="n">
        <f aca="false">SUMIF($C$10:$C$23, $C89, R$10:R$23)</f>
        <v>1804946.28</v>
      </c>
      <c r="S89" s="14" t="n">
        <f aca="false">SUMIF($C$10:$C$23, $C89, S$10:S$23)</f>
        <v>4649824.66</v>
      </c>
      <c r="T89" s="14" t="n">
        <f aca="false">SUMIF($C$10:$C$23, $C89, T$10:T$23)</f>
        <v>3520010.58</v>
      </c>
      <c r="U89" s="14" t="n">
        <f aca="false">SUMIF($C$10:$C$23, $C89, U$10:U$23)</f>
        <v>3740952.43</v>
      </c>
      <c r="V89" s="14" t="n">
        <f aca="false">SUMIF($C$10:$C$23, $C89, V$10:V$23)</f>
        <v>3332764.22</v>
      </c>
      <c r="W89" s="14" t="n">
        <f aca="false">SUMIF($C$10:$C$23, $C89, W$10:W$23)</f>
        <v>5869364.08</v>
      </c>
      <c r="X89" s="14" t="n">
        <f aca="false">SUMIF($C$10:$C$23, $C89, X$10:X$23)</f>
        <v>1671585.07</v>
      </c>
      <c r="Y89" s="14" t="n">
        <f aca="false">SUMIF($C$10:$C$23, $C89, Y$10:Y$23)</f>
        <v>636422.77</v>
      </c>
      <c r="Z89" s="14"/>
      <c r="AA89" s="14" t="n">
        <f aca="false">SUMIF($C$10:$C$23, $C89, AA$10:AA$23)</f>
        <v>1162221</v>
      </c>
      <c r="AB89" s="14" t="n">
        <f aca="false">SUMIF($C$10:$C$23, $C89, AB$10:AB$23)</f>
        <v>1962956</v>
      </c>
      <c r="AC89" s="14"/>
      <c r="AD89" s="14" t="n">
        <f aca="false">SUMIF($C$10:$C$23, $C89, AD$10:AD$23)</f>
        <v>8013336</v>
      </c>
      <c r="AE89" s="14" t="n">
        <f aca="false">SUMIF($C$10:$C$23, $C89, AE$10:AE$23)</f>
        <v>6163979</v>
      </c>
      <c r="AF89" s="14" t="n">
        <f aca="false">SUMIF($C$10:$C$23, $C89, AF$10:AF$23)</f>
        <v>0</v>
      </c>
      <c r="AG89" s="14" t="n">
        <f aca="false">SUMIF($C$10:$C$23, $C89, AG$10:AG$23)</f>
        <v>5719550</v>
      </c>
      <c r="AH89" s="14" t="n">
        <f aca="false">SUMIF($C$10:$C$23, $C89, AH$10:AH$23)</f>
        <v>8282124</v>
      </c>
      <c r="AI89" s="14" t="n">
        <f aca="false">SUMIF($C$10:$C$23, $C89, AI$10:AI$23)</f>
        <v>5523478</v>
      </c>
      <c r="AJ89" s="14" t="n">
        <f aca="false">SUMIF($C$10:$C$23, $C89, AJ$10:AJ$23)</f>
        <v>6362202</v>
      </c>
      <c r="AK89" s="14"/>
      <c r="AL89" s="14" t="n">
        <f aca="false">SUMIF($C$10:$C$23, $C89, AL$10:AL$23)</f>
        <v>4636420.58</v>
      </c>
      <c r="AM89" s="14" t="n">
        <f aca="false">SUMIF($C$10:$C$23, $C89, AM$10:AM$23)</f>
        <v>1986457.42</v>
      </c>
      <c r="AN89" s="14" t="n">
        <f aca="false">SUMIF($C$10:$C$23, $C89, AN$10:AN$23)</f>
        <v>4966452.9</v>
      </c>
      <c r="AO89" s="14" t="n">
        <f aca="false">SUMIF($C$10:$C$23, $C89, AO$10:AO$23)</f>
        <v>10296781.42</v>
      </c>
      <c r="AP89" s="14" t="n">
        <f aca="false">SUMIF($C$10:$C$23, $C89, AP$10:AP$23)</f>
        <v>4544153.7</v>
      </c>
      <c r="AQ89" s="14" t="n">
        <f aca="false">SUMIF($C$10:$C$23, $C89, AQ$10:AQ$23)</f>
        <v>4402048.32</v>
      </c>
      <c r="AR89" s="14" t="n">
        <f aca="false">SUMIF($C$10:$C$23, $C89, AR$10:AR$23)</f>
        <v>6109985.84</v>
      </c>
      <c r="AS89" s="14" t="n">
        <f aca="false">SUMIF($C$10:$C$23, $C89, AS$10:AS$23)</f>
        <v>2598825.28</v>
      </c>
      <c r="AT89" s="14" t="n">
        <f aca="false">SUMIF($C$10:$C$23, $C89, AT$10:AT$23)</f>
        <v>727055.55</v>
      </c>
      <c r="AU89" s="14" t="n">
        <f aca="false">SUMIF($C$10:$C$23, $C89, AU$10:AU$23)</f>
        <v>970695.19</v>
      </c>
      <c r="AV89" s="14" t="n">
        <f aca="false">SUMIF($C$10:$C$23, $C89, AV$10:AV$23)</f>
        <v>1307690.8</v>
      </c>
      <c r="AW89" s="14" t="n">
        <f aca="false">SUMIF($C$10:$C$23, $C89, AW$10:AW$23)</f>
        <v>213625.76</v>
      </c>
      <c r="AX89" s="14"/>
      <c r="AY89" s="14" t="n">
        <f aca="false">SUMIF($C$10:$C$23, $C89, AY$10:AY$23)</f>
        <v>42760192.76</v>
      </c>
      <c r="AZ89" s="14" t="n">
        <f aca="false">SUMIF($C$10:$C$23, $C89, AZ$10:AZ$23)</f>
        <v>39274715.6</v>
      </c>
      <c r="BA89" s="14" t="n">
        <f aca="false">SUMIF($C$10:$C$23, $C89, BA$10:BA$23)</f>
        <v>41915371.29</v>
      </c>
      <c r="BB89" s="14" t="n">
        <f aca="false">SUMIF($C$10:$C$23, $C89, BB$10:BB$23)</f>
        <v>3125177</v>
      </c>
      <c r="BC89" s="14" t="n">
        <f aca="false">SUMIF($C$10:$C$23, $C89, BC$10:BC$23)</f>
        <v>40064669</v>
      </c>
      <c r="BD89" s="14"/>
      <c r="BE89" s="14" t="n">
        <f aca="false">SUMIF($C$10:$C$23, $C89, BE$10:BE$23)</f>
        <v>167140125.65</v>
      </c>
    </row>
    <row r="90" customFormat="false" ht="12.75" hidden="false" customHeight="true" outlineLevel="0" collapsed="false">
      <c r="A90" s="1" t="s">
        <v>78</v>
      </c>
      <c r="B90" s="1" t="n">
        <v>2025</v>
      </c>
      <c r="C90" s="1" t="s">
        <v>52</v>
      </c>
      <c r="D90" s="14" t="n">
        <f aca="false">D10+D12</f>
        <v>1593474.6</v>
      </c>
      <c r="E90" s="14" t="n">
        <f aca="false">E10+E12</f>
        <v>420217.66</v>
      </c>
      <c r="F90" s="14" t="n">
        <f aca="false">F10+F12</f>
        <v>1323306.4</v>
      </c>
      <c r="G90" s="14" t="n">
        <f aca="false">G10+G12</f>
        <v>1965158.49</v>
      </c>
      <c r="H90" s="14" t="n">
        <f aca="false">H10+H12</f>
        <v>1937005.74</v>
      </c>
      <c r="I90" s="14" t="n">
        <f aca="false">I10+I12</f>
        <v>2235203.04</v>
      </c>
      <c r="J90" s="14" t="n">
        <f aca="false">J10+J12</f>
        <v>2440311.47</v>
      </c>
      <c r="K90" s="14" t="n">
        <f aca="false">K10+K12</f>
        <v>450669.36</v>
      </c>
      <c r="L90" s="14" t="n">
        <f aca="false">L10+L12</f>
        <v>490867.23</v>
      </c>
      <c r="M90" s="14" t="n">
        <f aca="false">M10+M12</f>
        <v>1648073.78</v>
      </c>
      <c r="N90" s="14"/>
      <c r="O90" s="14" t="n">
        <f aca="false">O10+O12</f>
        <v>2074537.43</v>
      </c>
      <c r="P90" s="14" t="n">
        <f aca="false">P10+P12</f>
        <v>1506874.6</v>
      </c>
      <c r="Q90" s="14" t="n">
        <f aca="false">Q10+Q12</f>
        <v>1943271.27</v>
      </c>
      <c r="R90" s="14" t="n">
        <f aca="false">R10+R12</f>
        <v>267400</v>
      </c>
      <c r="S90" s="14" t="n">
        <f aca="false">S10+S12</f>
        <v>1022046.66</v>
      </c>
      <c r="T90" s="14" t="n">
        <f aca="false">T10+T12</f>
        <v>1481959.74</v>
      </c>
      <c r="U90" s="14" t="n">
        <f aca="false">U10+U12</f>
        <v>1620253.3</v>
      </c>
      <c r="V90" s="14" t="n">
        <f aca="false">V10+V12</f>
        <v>1558872.25</v>
      </c>
      <c r="W90" s="14" t="n">
        <f aca="false">W10+W12</f>
        <v>2839480.05</v>
      </c>
      <c r="X90" s="14" t="n">
        <f aca="false">X10+X12</f>
        <v>2685311.2</v>
      </c>
      <c r="Y90" s="14" t="n">
        <f aca="false">Y10+Y12</f>
        <v>1342655.6</v>
      </c>
      <c r="Z90" s="14"/>
      <c r="AA90" s="14" t="n">
        <f aca="false">AA10+AA12</f>
        <v>365229.9</v>
      </c>
      <c r="AB90" s="14" t="n">
        <f aca="false">AB10+AB12</f>
        <v>339330.7</v>
      </c>
      <c r="AC90" s="14"/>
      <c r="AD90" s="14" t="n">
        <f aca="false">AD10+AD12</f>
        <v>1116303.83</v>
      </c>
      <c r="AE90" s="14" t="n">
        <f aca="false">AE10+AE12</f>
        <v>1274096</v>
      </c>
      <c r="AF90" s="14" t="n">
        <f aca="false">AF10+AF12</f>
        <v>0</v>
      </c>
      <c r="AG90" s="14" t="n">
        <f aca="false">AG10+AG12</f>
        <v>1892375.54</v>
      </c>
      <c r="AH90" s="14" t="n">
        <f aca="false">AH10+AH12</f>
        <v>3302358.95</v>
      </c>
      <c r="AI90" s="14" t="n">
        <f aca="false">AI10+AI12</f>
        <v>1897210.88</v>
      </c>
      <c r="AJ90" s="14" t="n">
        <f aca="false">AJ10+AJ12</f>
        <v>2484267.61</v>
      </c>
      <c r="AK90" s="14"/>
      <c r="AL90" s="14" t="n">
        <f aca="false">AL10+AL12</f>
        <v>2054576.99</v>
      </c>
      <c r="AM90" s="14" t="n">
        <f aca="false">AM10+AM12</f>
        <v>1198845.77</v>
      </c>
      <c r="AN90" s="14" t="n">
        <f aca="false">AN10+AN12</f>
        <v>1871969.03</v>
      </c>
      <c r="AO90" s="14" t="n">
        <f aca="false">AO10+AO12</f>
        <v>4199906.51</v>
      </c>
      <c r="AP90" s="14" t="n">
        <f aca="false">AP10+AP12</f>
        <v>1932331.91</v>
      </c>
      <c r="AQ90" s="14" t="n">
        <f aca="false">AQ10+AQ12</f>
        <v>1920918.57</v>
      </c>
      <c r="AR90" s="14" t="n">
        <f aca="false">AR10+AR12</f>
        <v>2522007.67</v>
      </c>
      <c r="AS90" s="14" t="n">
        <f aca="false">AS10+AS12</f>
        <v>0</v>
      </c>
      <c r="AT90" s="14" t="n">
        <f aca="false">AT10+AT12</f>
        <v>613034.57</v>
      </c>
      <c r="AU90" s="14" t="n">
        <f aca="false">AU10+AU12</f>
        <v>306945.67</v>
      </c>
      <c r="AV90" s="14" t="n">
        <f aca="false">AV10+AV12</f>
        <v>3707258.16</v>
      </c>
      <c r="AW90" s="14" t="n">
        <f aca="false">AW10+AW12</f>
        <v>1704256.33</v>
      </c>
      <c r="AX90" s="14"/>
      <c r="AY90" s="14" t="n">
        <f aca="false">AY10+AY12</f>
        <v>22032051.18</v>
      </c>
      <c r="AZ90" s="14" t="n">
        <f aca="false">AZ10+AZ12</f>
        <v>14504287.77</v>
      </c>
      <c r="BA90" s="14" t="n">
        <f aca="false">BA10+BA12</f>
        <v>18342662.1</v>
      </c>
      <c r="BB90" s="14" t="n">
        <f aca="false">BB10+BB12</f>
        <v>704560.6</v>
      </c>
      <c r="BC90" s="14" t="n">
        <f aca="false">BC10+BC12</f>
        <v>11966612.81</v>
      </c>
      <c r="BD90" s="14"/>
      <c r="BE90" s="14" t="n">
        <f aca="false">BE10+BE12</f>
        <v>67550174.46</v>
      </c>
    </row>
    <row r="91" customFormat="false" ht="12.75" hidden="false" customHeight="true" outlineLevel="0" collapsed="false">
      <c r="A91" s="1" t="s">
        <v>78</v>
      </c>
      <c r="B91" s="1" t="n">
        <v>2025</v>
      </c>
      <c r="C91" s="1" t="s">
        <v>53</v>
      </c>
      <c r="D91" s="14" t="n">
        <f aca="false">D11+D13</f>
        <v>1752836.74</v>
      </c>
      <c r="E91" s="14" t="n">
        <f aca="false">E11+E13</f>
        <v>407160</v>
      </c>
      <c r="F91" s="14" t="n">
        <f aca="false">F11+F13</f>
        <v>1117203.63</v>
      </c>
      <c r="G91" s="14" t="n">
        <f aca="false">G11+G13</f>
        <v>1733433.71</v>
      </c>
      <c r="H91" s="14" t="n">
        <f aca="false">H11+H13</f>
        <v>1651032.84</v>
      </c>
      <c r="I91" s="14" t="n">
        <f aca="false">I11+I13</f>
        <v>2744629.77</v>
      </c>
      <c r="J91" s="14" t="n">
        <f aca="false">J11+J13</f>
        <v>2227833.96</v>
      </c>
      <c r="K91" s="14" t="n">
        <f aca="false">K11+K13</f>
        <v>295526.19</v>
      </c>
      <c r="L91" s="14" t="n">
        <f aca="false">L11+L13</f>
        <v>248686.6</v>
      </c>
      <c r="M91" s="14" t="n">
        <f aca="false">M11+M13</f>
        <v>314638.24</v>
      </c>
      <c r="N91" s="14"/>
      <c r="O91" s="14" t="n">
        <f aca="false">O11+O13</f>
        <v>2007151.83</v>
      </c>
      <c r="P91" s="14" t="n">
        <f aca="false">P11+P13</f>
        <v>929888.12</v>
      </c>
      <c r="Q91" s="14" t="n">
        <f aca="false">Q11+Q13</f>
        <v>2910558.7</v>
      </c>
      <c r="R91" s="14" t="n">
        <f aca="false">R11+R13</f>
        <v>71012.61</v>
      </c>
      <c r="S91" s="14" t="n">
        <f aca="false">S11+S13</f>
        <v>1176096.97</v>
      </c>
      <c r="T91" s="14" t="n">
        <f aca="false">T11+T13</f>
        <v>1016086.07</v>
      </c>
      <c r="U91" s="14" t="n">
        <f aca="false">U11+U13</f>
        <v>744911.69</v>
      </c>
      <c r="V91" s="14" t="n">
        <f aca="false">V11+V13</f>
        <v>1193303.34</v>
      </c>
      <c r="W91" s="14" t="n">
        <f aca="false">W11+W13</f>
        <v>1747061.77</v>
      </c>
      <c r="X91" s="14" t="n">
        <f aca="false">X11+X13</f>
        <v>201304.61</v>
      </c>
      <c r="Y91" s="14" t="n">
        <f aca="false">Y11+Y13</f>
        <v>47915.32</v>
      </c>
      <c r="Z91" s="14"/>
      <c r="AA91" s="14" t="n">
        <f aca="false">AA11+AA13</f>
        <v>590902</v>
      </c>
      <c r="AB91" s="14" t="n">
        <f aca="false">AB11+AB13</f>
        <v>300189</v>
      </c>
      <c r="AC91" s="14"/>
      <c r="AD91" s="14" t="n">
        <f aca="false">AD11+AD13</f>
        <v>2850881</v>
      </c>
      <c r="AE91" s="14" t="n">
        <f aca="false">AE11+AE13</f>
        <v>2455740</v>
      </c>
      <c r="AF91" s="14" t="n">
        <f aca="false">AF11+AF13</f>
        <v>0</v>
      </c>
      <c r="AG91" s="14" t="n">
        <f aca="false">AG11+AG13</f>
        <v>2251206</v>
      </c>
      <c r="AH91" s="14" t="n">
        <f aca="false">AH11+AH13</f>
        <v>3281355</v>
      </c>
      <c r="AI91" s="14" t="n">
        <f aca="false">AI11+AI13</f>
        <v>2224396</v>
      </c>
      <c r="AJ91" s="14" t="n">
        <f aca="false">AJ11+AJ13</f>
        <v>1957159</v>
      </c>
      <c r="AK91" s="14"/>
      <c r="AL91" s="14" t="n">
        <f aca="false">AL11+AL13</f>
        <v>1498439.59</v>
      </c>
      <c r="AM91" s="14" t="n">
        <f aca="false">AM11+AM13</f>
        <v>143984.34</v>
      </c>
      <c r="AN91" s="14" t="n">
        <f aca="false">AN11+AN13</f>
        <v>1959717.45</v>
      </c>
      <c r="AO91" s="14" t="n">
        <f aca="false">AO11+AO13</f>
        <v>4875029.05</v>
      </c>
      <c r="AP91" s="14" t="n">
        <f aca="false">AP11+AP13</f>
        <v>1360806.35</v>
      </c>
      <c r="AQ91" s="14" t="n">
        <f aca="false">AQ11+AQ13</f>
        <v>953515.24</v>
      </c>
      <c r="AR91" s="14" t="n">
        <f aca="false">AR11+AR13</f>
        <v>2884920.74</v>
      </c>
      <c r="AS91" s="14" t="n">
        <f aca="false">AS11+AS13</f>
        <v>0</v>
      </c>
      <c r="AT91" s="14" t="n">
        <f aca="false">AT11+AT13</f>
        <v>240351.86</v>
      </c>
      <c r="AU91" s="14" t="n">
        <f aca="false">AU11+AU13</f>
        <v>179489.33</v>
      </c>
      <c r="AV91" s="14" t="n">
        <f aca="false">AV11+AV13</f>
        <v>98400.78</v>
      </c>
      <c r="AW91" s="14" t="n">
        <f aca="false">AW11+AW13</f>
        <v>0</v>
      </c>
      <c r="AX91" s="14"/>
      <c r="AY91" s="14" t="n">
        <f aca="false">AY11+AY13</f>
        <v>14194654.73</v>
      </c>
      <c r="AZ91" s="14" t="n">
        <f aca="false">AZ11+AZ13</f>
        <v>12492981.68</v>
      </c>
      <c r="BA91" s="14" t="n">
        <f aca="false">BA11+BA13</f>
        <v>12045291.03</v>
      </c>
      <c r="BB91" s="14" t="n">
        <f aca="false">BB11+BB13</f>
        <v>891091</v>
      </c>
      <c r="BC91" s="14" t="n">
        <f aca="false">BC11+BC13</f>
        <v>15020737</v>
      </c>
      <c r="BD91" s="14"/>
      <c r="BE91" s="14" t="n">
        <f aca="false">BE11+BE13</f>
        <v>54644755.44</v>
      </c>
    </row>
    <row r="92" customFormat="false" ht="12.75" hidden="false" customHeight="true" outlineLevel="0" collapsed="false">
      <c r="A92" s="1" t="s">
        <v>79</v>
      </c>
      <c r="B92" s="1" t="n">
        <v>2025</v>
      </c>
      <c r="C92" s="1" t="s">
        <v>52</v>
      </c>
      <c r="D92" s="14" t="n">
        <f aca="false">D16+D18+D20</f>
        <v>198000</v>
      </c>
      <c r="E92" s="14" t="n">
        <f aca="false">E16+E18+E20</f>
        <v>364894.35</v>
      </c>
      <c r="F92" s="14" t="n">
        <f aca="false">F16+F18+F20</f>
        <v>309058.26</v>
      </c>
      <c r="G92" s="14" t="n">
        <f aca="false">G16+G18+G20</f>
        <v>320698.43</v>
      </c>
      <c r="H92" s="14" t="n">
        <f aca="false">H16+H18+H20</f>
        <v>213698.26</v>
      </c>
      <c r="I92" s="14" t="n">
        <f aca="false">I16+I18+I20</f>
        <v>341333.33</v>
      </c>
      <c r="J92" s="14" t="n">
        <f aca="false">J16+J18+J20</f>
        <v>479961.93</v>
      </c>
      <c r="K92" s="14" t="n">
        <f aca="false">K16+K18+K20</f>
        <v>49644.4</v>
      </c>
      <c r="L92" s="14" t="n">
        <f aca="false">L16+L18+L20</f>
        <v>49644.4</v>
      </c>
      <c r="M92" s="14" t="n">
        <f aca="false">M16+M18+M20</f>
        <v>460204.4</v>
      </c>
      <c r="N92" s="14"/>
      <c r="O92" s="14" t="n">
        <f aca="false">O16+O18+O20</f>
        <v>529258.18</v>
      </c>
      <c r="P92" s="14" t="n">
        <f aca="false">P16+P18+P20</f>
        <v>552517.83</v>
      </c>
      <c r="Q92" s="14" t="n">
        <f aca="false">Q16+Q18+Q20</f>
        <v>484731.09</v>
      </c>
      <c r="R92" s="14" t="n">
        <f aca="false">R16+R18+R20</f>
        <v>563781.74</v>
      </c>
      <c r="S92" s="14" t="n">
        <f aca="false">S16+S18+S20</f>
        <v>890565</v>
      </c>
      <c r="T92" s="14" t="n">
        <f aca="false">T16+T18+T20</f>
        <v>459429</v>
      </c>
      <c r="U92" s="14" t="n">
        <f aca="false">U16+U18+U20</f>
        <v>495820</v>
      </c>
      <c r="V92" s="14" t="n">
        <f aca="false">V16+V18+V20</f>
        <v>319060</v>
      </c>
      <c r="W92" s="14" t="n">
        <f aca="false">W16+W18+W20</f>
        <v>887556.1</v>
      </c>
      <c r="X92" s="14" t="n">
        <f aca="false">X16+X18+X20</f>
        <v>856119</v>
      </c>
      <c r="Y92" s="14" t="n">
        <f aca="false">Y16+Y18+Y20</f>
        <v>564399</v>
      </c>
      <c r="Z92" s="14"/>
      <c r="AA92" s="14" t="n">
        <f aca="false">AA16+AA18+AA20</f>
        <v>101136.05</v>
      </c>
      <c r="AB92" s="14" t="n">
        <f aca="false">AB16+AB18+AB20</f>
        <v>266267.02</v>
      </c>
      <c r="AC92" s="14"/>
      <c r="AD92" s="14" t="n">
        <f aca="false">AD16+AD18+AD20</f>
        <v>329787.27</v>
      </c>
      <c r="AE92" s="14" t="n">
        <f aca="false">AE16+AE18+AE20</f>
        <v>204000</v>
      </c>
      <c r="AF92" s="14" t="n">
        <f aca="false">AF16+AF18+AF20</f>
        <v>0</v>
      </c>
      <c r="AG92" s="14" t="n">
        <f aca="false">AG16+AG18+AG20</f>
        <v>175490</v>
      </c>
      <c r="AH92" s="14" t="n">
        <f aca="false">AH16+AH18+AH20</f>
        <v>339200</v>
      </c>
      <c r="AI92" s="14" t="n">
        <f aca="false">AI16+AI18+AI20</f>
        <v>162610</v>
      </c>
      <c r="AJ92" s="14" t="n">
        <f aca="false">AJ16+AJ18+AJ20</f>
        <v>705596.34</v>
      </c>
      <c r="AK92" s="14"/>
      <c r="AL92" s="14" t="n">
        <f aca="false">AL16+AL18+AL20</f>
        <v>323024.11</v>
      </c>
      <c r="AM92" s="14" t="n">
        <f aca="false">AM16+AM18+AM20</f>
        <v>524190.2</v>
      </c>
      <c r="AN92" s="14" t="n">
        <f aca="false">AN16+AN18+AN20</f>
        <v>394806.32</v>
      </c>
      <c r="AO92" s="14" t="n">
        <f aca="false">AO16+AO18+AO20</f>
        <v>626157.77</v>
      </c>
      <c r="AP92" s="14" t="n">
        <f aca="false">AP16+AP18+AP20</f>
        <v>315529.32</v>
      </c>
      <c r="AQ92" s="14" t="n">
        <f aca="false">AQ16+AQ18+AQ20</f>
        <v>420547.4</v>
      </c>
      <c r="AR92" s="14" t="n">
        <f aca="false">AR16+AR18+AR20</f>
        <v>317418.58</v>
      </c>
      <c r="AS92" s="14" t="n">
        <f aca="false">AS16+AS18+AS20</f>
        <v>341804.4</v>
      </c>
      <c r="AT92" s="14" t="n">
        <f aca="false">AT16+AT18+AT20</f>
        <v>49644.4</v>
      </c>
      <c r="AU92" s="14" t="n">
        <f aca="false">AU16+AU18+AU20</f>
        <v>45700.05</v>
      </c>
      <c r="AV92" s="14" t="n">
        <f aca="false">AV16+AV18+AV20</f>
        <v>49644.4</v>
      </c>
      <c r="AW92" s="14" t="n">
        <f aca="false">AW16+AW18+AW20</f>
        <v>610531.04</v>
      </c>
      <c r="AX92" s="14"/>
      <c r="AY92" s="14" t="n">
        <f aca="false">AY16+AY18+AY20</f>
        <v>4018997.99</v>
      </c>
      <c r="AZ92" s="14" t="n">
        <f aca="false">AZ16+AZ18+AZ20</f>
        <v>2787137.76</v>
      </c>
      <c r="BA92" s="14" t="n">
        <f aca="false">BA16+BA18+BA20</f>
        <v>6603236.94</v>
      </c>
      <c r="BB92" s="14" t="n">
        <f aca="false">BB16+BB18+BB20</f>
        <v>367403.07</v>
      </c>
      <c r="BC92" s="14" t="n">
        <f aca="false">BC16+BC18+BC20</f>
        <v>1916683.61</v>
      </c>
      <c r="BD92" s="14"/>
      <c r="BE92" s="14" t="n">
        <f aca="false">BE16+BE18+BE20</f>
        <v>15693459.37</v>
      </c>
    </row>
    <row r="93" customFormat="false" ht="12.75" hidden="false" customHeight="true" outlineLevel="0" collapsed="false">
      <c r="A93" s="1" t="s">
        <v>79</v>
      </c>
      <c r="B93" s="1" t="n">
        <v>2025</v>
      </c>
      <c r="C93" s="1" t="s">
        <v>53</v>
      </c>
      <c r="D93" s="14" t="n">
        <f aca="false">D17+D19+D21</f>
        <v>180866.18</v>
      </c>
      <c r="E93" s="14" t="n">
        <f aca="false">E17+E19+E21</f>
        <v>236330.35</v>
      </c>
      <c r="F93" s="14" t="n">
        <f aca="false">F17+F19+F21</f>
        <v>285217.11</v>
      </c>
      <c r="G93" s="14" t="n">
        <f aca="false">G17+G19+G21</f>
        <v>336502.48</v>
      </c>
      <c r="H93" s="14" t="n">
        <f aca="false">H17+H19+H21</f>
        <v>203596.59</v>
      </c>
      <c r="I93" s="14" t="n">
        <f aca="false">I17+I19+I21</f>
        <v>374875.31</v>
      </c>
      <c r="J93" s="14" t="n">
        <f aca="false">J17+J19+J21</f>
        <v>408919.5</v>
      </c>
      <c r="K93" s="14" t="n">
        <f aca="false">K17+K19+K21</f>
        <v>36641.25</v>
      </c>
      <c r="L93" s="14" t="n">
        <f aca="false">L17+L19+L21</f>
        <v>44234.61</v>
      </c>
      <c r="M93" s="14" t="n">
        <f aca="false">M17+M19+M21</f>
        <v>224913.12</v>
      </c>
      <c r="N93" s="14"/>
      <c r="O93" s="14" t="n">
        <f aca="false">O17+O19+O21</f>
        <v>518668.31</v>
      </c>
      <c r="P93" s="14" t="n">
        <f aca="false">P17+P19+P21</f>
        <v>643221.98</v>
      </c>
      <c r="Q93" s="14" t="n">
        <f aca="false">Q17+Q19+Q21</f>
        <v>546344.17</v>
      </c>
      <c r="R93" s="14" t="n">
        <f aca="false">R17+R19+R21</f>
        <v>452252.16</v>
      </c>
      <c r="S93" s="14" t="n">
        <f aca="false">S17+S19+S21</f>
        <v>805376.43</v>
      </c>
      <c r="T93" s="14" t="n">
        <f aca="false">T17+T19+T21</f>
        <v>362558.23</v>
      </c>
      <c r="U93" s="14" t="n">
        <f aca="false">U17+U19+U21</f>
        <v>311162.52</v>
      </c>
      <c r="V93" s="14" t="n">
        <f aca="false">V17+V19+V21</f>
        <v>108180.53</v>
      </c>
      <c r="W93" s="14" t="n">
        <f aca="false">W17+W19+W21</f>
        <v>574823.86</v>
      </c>
      <c r="X93" s="14" t="n">
        <f aca="false">X17+X19+X21</f>
        <v>107988.77</v>
      </c>
      <c r="Y93" s="14" t="n">
        <f aca="false">Y17+Y19+Y21</f>
        <v>39877.97</v>
      </c>
      <c r="Z93" s="14"/>
      <c r="AA93" s="14" t="n">
        <f aca="false">AA17+AA19+AA21</f>
        <v>106687</v>
      </c>
      <c r="AB93" s="14" t="n">
        <f aca="false">AB17+AB19+AB21</f>
        <v>331927</v>
      </c>
      <c r="AC93" s="14"/>
      <c r="AD93" s="14" t="n">
        <f aca="false">AD17+AD19+AD21</f>
        <v>0</v>
      </c>
      <c r="AE93" s="14" t="n">
        <f aca="false">AE17+AE19+AE21</f>
        <v>166324</v>
      </c>
      <c r="AF93" s="14" t="n">
        <f aca="false">AF17+AF19+AF21</f>
        <v>0</v>
      </c>
      <c r="AG93" s="14" t="n">
        <f aca="false">AG17+AG19+AG21</f>
        <v>195585</v>
      </c>
      <c r="AH93" s="14" t="n">
        <f aca="false">AH17+AH19+AH21</f>
        <v>271999</v>
      </c>
      <c r="AI93" s="14" t="n">
        <f aca="false">AI17+AI19+AI21</f>
        <v>133129</v>
      </c>
      <c r="AJ93" s="14" t="n">
        <f aca="false">AJ17+AJ19+AJ21</f>
        <v>422396</v>
      </c>
      <c r="AK93" s="14"/>
      <c r="AL93" s="14" t="n">
        <f aca="false">AL17+AL19+AL21</f>
        <v>229885</v>
      </c>
      <c r="AM93" s="14" t="n">
        <f aca="false">AM17+AM19+AM21</f>
        <v>381454</v>
      </c>
      <c r="AN93" s="14" t="n">
        <f aca="false">AN17+AN19+AN21</f>
        <v>284191</v>
      </c>
      <c r="AO93" s="14" t="n">
        <f aca="false">AO17+AO19+AO21</f>
        <v>542776</v>
      </c>
      <c r="AP93" s="14" t="n">
        <f aca="false">AP17+AP19+AP21</f>
        <v>416360</v>
      </c>
      <c r="AQ93" s="14" t="n">
        <f aca="false">AQ17+AQ19+AQ21</f>
        <v>547200</v>
      </c>
      <c r="AR93" s="14" t="n">
        <f aca="false">AR17+AR19+AR21</f>
        <v>336037</v>
      </c>
      <c r="AS93" s="14" t="n">
        <f aca="false">AS17+AS19+AS21</f>
        <v>223213.39</v>
      </c>
      <c r="AT93" s="14" t="n">
        <f aca="false">AT17+AT19+AT21</f>
        <v>46022.29</v>
      </c>
      <c r="AU93" s="14" t="n">
        <f aca="false">AU17+AU19+AU21</f>
        <v>46411.56</v>
      </c>
      <c r="AV93" s="14" t="n">
        <f aca="false">AV17+AV19+AV21</f>
        <v>42585.84</v>
      </c>
      <c r="AW93" s="14" t="n">
        <f aca="false">AW17+AW19+AW21</f>
        <v>0</v>
      </c>
      <c r="AX93" s="14"/>
      <c r="AY93" s="14" t="n">
        <f aca="false">AY17+AY19+AY21</f>
        <v>3096136.08</v>
      </c>
      <c r="AZ93" s="14" t="n">
        <f aca="false">AZ17+AZ19+AZ21</f>
        <v>2332096.5</v>
      </c>
      <c r="BA93" s="14" t="n">
        <f aca="false">BA17+BA19+BA21</f>
        <v>4470454.93</v>
      </c>
      <c r="BB93" s="14" t="n">
        <f aca="false">BB17+BB19+BB21</f>
        <v>438614</v>
      </c>
      <c r="BC93" s="14" t="n">
        <f aca="false">BC17+BC19+BC21</f>
        <v>1189433</v>
      </c>
      <c r="BD93" s="14"/>
      <c r="BE93" s="14" t="n">
        <f aca="false">BE17+BE19+BE21</f>
        <v>11526734.51</v>
      </c>
    </row>
    <row r="94" customFormat="false" ht="12.75" hidden="false" customHeight="true" outlineLevel="0" collapsed="false"/>
    <row r="95" customFormat="false" ht="12.75" hidden="false" customHeight="true" outlineLevel="0" collapsed="false">
      <c r="A95" s="1" t="s">
        <v>51</v>
      </c>
      <c r="B95" s="1" t="n">
        <v>2025</v>
      </c>
      <c r="C95" s="1" t="s">
        <v>80</v>
      </c>
      <c r="D95" s="16" t="n">
        <f aca="false">SUMIFS(D$10:D$23, $A$10:$A$23,$A95, $C$10:$C$23, "$ Actual")/SUMIFS(D$10:D$23, $A$10:$A$23,$A95, $C$10:$C$23, "$ Budgeted")</f>
        <v>0.790439607686243</v>
      </c>
      <c r="E95" s="16" t="n">
        <f aca="false">SUMIFS(E$10:E$23, $A$10:$A$23,$A95, $C$10:$C$23, "$ Actual")/SUMIFS(E$10:E$23, $A$10:$A$23,$A95, $C$10:$C$23, "$ Budgeted")</f>
        <v>0.968926436837519</v>
      </c>
      <c r="F95" s="16" t="n">
        <f aca="false">SUMIFS(F$10:F$23, $A$10:$A$23,$A95, $C$10:$C$23, "$ Actual")/SUMIFS(F$10:F$23, $A$10:$A$23,$A95, $C$10:$C$23, "$ Budgeted")</f>
        <v>0.844251663862579</v>
      </c>
      <c r="G95" s="16" t="n">
        <f aca="false">SUMIFS(G$10:G$23, $A$10:$A$23,$A95, $C$10:$C$23, "$ Actual")/SUMIFS(G$10:G$23, $A$10:$A$23,$A95, $C$10:$C$23, "$ Budgeted")</f>
        <v>0.740341991985864</v>
      </c>
      <c r="H95" s="16" t="n">
        <f aca="false">SUMIFS(H$10:H$23, $A$10:$A$23,$A95, $C$10:$C$23, "$ Actual")/SUMIFS(H$10:H$23, $A$10:$A$23,$A95, $C$10:$C$23, "$ Budgeted")</f>
        <v>0.638714565273772</v>
      </c>
      <c r="I95" s="16" t="n">
        <f aca="false">SUMIFS(I$10:I$23, $A$10:$A$23,$A95, $C$10:$C$23, "$ Actual")/SUMIFS(I$10:I$23, $A$10:$A$23,$A95, $C$10:$C$23, "$ Budgeted")</f>
        <v>1.35110267115862</v>
      </c>
      <c r="J95" s="16" t="n">
        <f aca="false">SUMIFS(J$10:J$23, $A$10:$A$23,$A95, $C$10:$C$23, "$ Actual")/SUMIFS(J$10:J$23, $A$10:$A$23,$A95, $C$10:$C$23, "$ Budgeted")</f>
        <v>0.837968887636452</v>
      </c>
      <c r="K95" s="16" t="n">
        <f aca="false">SUMIFS(K$10:K$23, $A$10:$A$23,$A95, $C$10:$C$23, "$ Actual")/SUMIFS(K$10:K$23, $A$10:$A$23,$A95, $C$10:$C$23, "$ Budgeted")</f>
        <v>0.655749461201445</v>
      </c>
      <c r="L95" s="16" t="n">
        <f aca="false">SUMIFS(L$10:L$23, $A$10:$A$23,$A95, $C$10:$C$23, "$ Actual")/SUMIFS(L$10:L$23, $A$10:$A$23,$A95, $C$10:$C$23, "$ Budgeted")</f>
        <v>0.430765650453805</v>
      </c>
      <c r="M95" s="16" t="n">
        <f aca="false">SUMIFS(M$10:M$23, $A$10:$A$23,$A95, $C$10:$C$23, "$ Actual")/SUMIFS(M$10:M$23, $A$10:$A$23,$A95, $C$10:$C$23, "$ Budgeted")</f>
        <v>0.0649138386800836</v>
      </c>
      <c r="N95" s="16"/>
      <c r="O95" s="16" t="n">
        <f aca="false">SUMIFS(O$10:O$23, $A$10:$A$23,$A95, $C$10:$C$23, "$ Actual")/SUMIFS(O$10:O$23, $A$10:$A$23,$A95, $C$10:$C$23, "$ Budgeted")</f>
        <v>1.11649411206919</v>
      </c>
      <c r="P95" s="16" t="n">
        <f aca="false">SUMIFS(P$10:P$23, $A$10:$A$23,$A95, $C$10:$C$23, "$ Actual")/SUMIFS(P$10:P$23, $A$10:$A$23,$A95, $C$10:$C$23, "$ Budgeted")</f>
        <v>0.802121564540793</v>
      </c>
      <c r="Q95" s="16" t="n">
        <f aca="false">SUMIFS(Q$10:Q$23, $A$10:$A$23,$A95, $C$10:$C$23, "$ Actual")/SUMIFS(Q$10:Q$23, $A$10:$A$23,$A95, $C$10:$C$23, "$ Budgeted")</f>
        <v>1.6288802487837</v>
      </c>
      <c r="R95" s="16" t="e">
        <f aca="false">SUMIFS(R$10:R$23, $A$10:$A$23,$A95, $C$10:$C$23, "$ Actual")/SUMIFS(R$10:R$23, $A$10:$A$23,$A95, $C$10:$C$23, "$ Budgeted")</f>
        <v>#DIV/0!</v>
      </c>
      <c r="S95" s="16" t="n">
        <f aca="false">SUMIFS(S$10:S$23, $A$10:$A$23,$A95, $C$10:$C$23, "$ Actual")/SUMIFS(S$10:S$23, $A$10:$A$23,$A95, $C$10:$C$23, "$ Budgeted")</f>
        <v>1.23453403439475</v>
      </c>
      <c r="T95" s="16" t="n">
        <f aca="false">SUMIFS(T$10:T$23, $A$10:$A$23,$A95, $C$10:$C$23, "$ Actual")/SUMIFS(T$10:T$23, $A$10:$A$23,$A95, $C$10:$C$23, "$ Budgeted")</f>
        <v>0.628414267695447</v>
      </c>
      <c r="U95" s="16" t="n">
        <f aca="false">SUMIFS(U$10:U$23, $A$10:$A$23,$A95, $C$10:$C$23, "$ Actual")/SUMIFS(U$10:U$23, $A$10:$A$23,$A95, $C$10:$C$23, "$ Budgeted")</f>
        <v>0.347038760804505</v>
      </c>
      <c r="V95" s="16" t="n">
        <f aca="false">SUMIFS(V$10:V$23, $A$10:$A$23,$A95, $C$10:$C$23, "$ Actual")/SUMIFS(V$10:V$23, $A$10:$A$23,$A95, $C$10:$C$23, "$ Budgeted")</f>
        <v>1.08779812608997</v>
      </c>
      <c r="W95" s="16" t="n">
        <f aca="false">SUMIFS(W$10:W$23, $A$10:$A$23,$A95, $C$10:$C$23, "$ Actual")/SUMIFS(W$10:W$23, $A$10:$A$23,$A95, $C$10:$C$23, "$ Budgeted")</f>
        <v>0.522791883067372</v>
      </c>
      <c r="X95" s="16" t="n">
        <f aca="false">SUMIFS(X$10:X$23, $A$10:$A$23,$A95, $C$10:$C$23, "$ Actual")/SUMIFS(X$10:X$23, $A$10:$A$23,$A95, $C$10:$C$23, "$ Budgeted")</f>
        <v>0.035661888705408</v>
      </c>
      <c r="Y95" s="16" t="n">
        <f aca="false">SUMIFS(Y$10:Y$23, $A$10:$A$23,$A95, $C$10:$C$23, "$ Actual")/SUMIFS(Y$10:Y$23, $A$10:$A$23,$A95, $C$10:$C$23, "$ Budgeted")</f>
        <v>0.0120706675027118</v>
      </c>
      <c r="Z95" s="16"/>
      <c r="AA95" s="16" t="n">
        <f aca="false">SUMIFS(AA$10:AA$23, $A$10:$A$23,$A95, $C$10:$C$23, "$ Actual")/SUMIFS(AA$10:AA$23, $A$10:$A$23,$A95, $C$10:$C$23, "$ Budgeted")</f>
        <v>1.38238254016369</v>
      </c>
      <c r="AB95" s="16" t="n">
        <f aca="false">SUMIFS(AB$10:AB$23, $A$10:$A$23,$A95, $C$10:$C$23, "$ Actual")/SUMIFS(AB$10:AB$23, $A$10:$A$23,$A95, $C$10:$C$23, "$ Budgeted")</f>
        <v>1.65961497954154</v>
      </c>
      <c r="AC95" s="16"/>
      <c r="AD95" s="16" t="n">
        <f aca="false">SUMIFS(AD$10:AD$23, $A$10:$A$23,$A95, $C$10:$C$23, "$ Actual")/SUMIFS(AD$10:AD$23, $A$10:$A$23,$A95, $C$10:$C$23, "$ Budgeted")</f>
        <v>2.32949236326148</v>
      </c>
      <c r="AE95" s="16" t="n">
        <f aca="false">SUMIFS(AE$10:AE$23, $A$10:$A$23,$A95, $C$10:$C$23, "$ Actual")/SUMIFS(AE$10:AE$23, $A$10:$A$23,$A95, $C$10:$C$23, "$ Budgeted")</f>
        <v>1.3826468639576</v>
      </c>
      <c r="AF95" s="16" t="e">
        <f aca="false">SUMIFS(AF$10:AF$23, $A$10:$A$23,$A95, $C$10:$C$23, "$ Actual")/SUMIFS(AF$10:AF$23, $A$10:$A$23,$A95, $C$10:$C$23, "$ Budgeted")</f>
        <v>#DIV/0!</v>
      </c>
      <c r="AG95" s="16" t="n">
        <f aca="false">SUMIFS(AG$10:AG$23, $A$10:$A$23,$A95, $C$10:$C$23, "$ Actual")/SUMIFS(AG$10:AG$23, $A$10:$A$23,$A95, $C$10:$C$23, "$ Budgeted")</f>
        <v>1.15233015970565</v>
      </c>
      <c r="AH95" s="16" t="n">
        <f aca="false">SUMIFS(AH$10:AH$23, $A$10:$A$23,$A95, $C$10:$C$23, "$ Actual")/SUMIFS(AH$10:AH$23, $A$10:$A$23,$A95, $C$10:$C$23, "$ Budgeted")</f>
        <v>0.8929338818158</v>
      </c>
      <c r="AI95" s="16" t="n">
        <f aca="false">SUMIFS(AI$10:AI$23, $A$10:$A$23,$A95, $C$10:$C$23, "$ Actual")/SUMIFS(AI$10:AI$23, $A$10:$A$23,$A95, $C$10:$C$23, "$ Budgeted")</f>
        <v>0.974237460014206</v>
      </c>
      <c r="AJ95" s="16" t="n">
        <f aca="false">SUMIFS(AJ$10:AJ$23, $A$10:$A$23,$A95, $C$10:$C$23, "$ Actual")/SUMIFS(AJ$10:AJ$23, $A$10:$A$23,$A95, $C$10:$C$23, "$ Budgeted")</f>
        <v>0.999740785692724</v>
      </c>
      <c r="AK95" s="16"/>
      <c r="AL95" s="16" t="n">
        <f aca="false">SUMIFS(AL$10:AL$23, $A$10:$A$23,$A95, $C$10:$C$23, "$ Actual")/SUMIFS(AL$10:AL$23, $A$10:$A$23,$A95, $C$10:$C$23, "$ Budgeted")</f>
        <v>0.729601004987326</v>
      </c>
      <c r="AM95" s="16" t="n">
        <f aca="false">SUMIFS(AM$10:AM$23, $A$10:$A$23,$A95, $C$10:$C$23, "$ Actual")/SUMIFS(AM$10:AM$23, $A$10:$A$23,$A95, $C$10:$C$23, "$ Budgeted")</f>
        <v>0.0796499253788296</v>
      </c>
      <c r="AN95" s="16" t="n">
        <f aca="false">SUMIFS(AN$10:AN$23, $A$10:$A$23,$A95, $C$10:$C$23, "$ Actual")/SUMIFS(AN$10:AN$23, $A$10:$A$23,$A95, $C$10:$C$23, "$ Budgeted")</f>
        <v>1.06955690055354</v>
      </c>
      <c r="AO95" s="16" t="n">
        <f aca="false">SUMIFS(AO$10:AO$23, $A$10:$A$23,$A95, $C$10:$C$23, "$ Actual")/SUMIFS(AO$10:AO$23, $A$10:$A$23,$A95, $C$10:$C$23, "$ Budgeted")</f>
        <v>1.2147214960958</v>
      </c>
      <c r="AP95" s="16" t="n">
        <f aca="false">SUMIFS(AP$10:AP$23, $A$10:$A$23,$A95, $C$10:$C$23, "$ Actual")/SUMIFS(AP$10:AP$23, $A$10:$A$23,$A95, $C$10:$C$23, "$ Budgeted")</f>
        <v>0.676687741958956</v>
      </c>
      <c r="AQ95" s="16" t="n">
        <f aca="false">SUMIFS(AQ$10:AQ$23, $A$10:$A$23,$A95, $C$10:$C$23, "$ Actual")/SUMIFS(AQ$10:AQ$23, $A$10:$A$23,$A95, $C$10:$C$23, "$ Budgeted")</f>
        <v>0.53291713590942</v>
      </c>
      <c r="AR95" s="16" t="n">
        <f aca="false">SUMIFS(AR$10:AR$23, $A$10:$A$23,$A95, $C$10:$C$23, "$ Actual")/SUMIFS(AR$10:AR$23, $A$10:$A$23,$A95, $C$10:$C$23, "$ Budgeted")</f>
        <v>1.11332372345377</v>
      </c>
      <c r="AS95" s="16" t="e">
        <f aca="false">SUMIFS(AS$10:AS$23, $A$10:$A$23,$A95, $C$10:$C$23, "$ Actual")/SUMIFS(AS$10:AS$23, $A$10:$A$23,$A95, $C$10:$C$23, "$ Budgeted")</f>
        <v>#DIV/0!</v>
      </c>
      <c r="AT95" s="16" t="n">
        <f aca="false">SUMIFS(AT$10:AT$23, $A$10:$A$23,$A95, $C$10:$C$23, "$ Actual")/SUMIFS(AT$10:AT$23, $A$10:$A$23,$A95, $C$10:$C$23, "$ Budgeted")</f>
        <v>0.392069014965991</v>
      </c>
      <c r="AU95" s="16" t="n">
        <f aca="false">SUMIFS(AU$10:AU$23, $A$10:$A$23,$A95, $C$10:$C$23, "$ Actual")/SUMIFS(AU$10:AU$23, $A$10:$A$23,$A95, $C$10:$C$23, "$ Budgeted")</f>
        <v>0.266205742534176</v>
      </c>
      <c r="AV95" s="16" t="n">
        <f aca="false">SUMIFS(AV$10:AV$23, $A$10:$A$23,$A95, $C$10:$C$23, "$ Actual")/SUMIFS(AV$10:AV$23, $A$10:$A$23,$A95, $C$10:$C$23, "$ Budgeted")</f>
        <v>0.0301132322001912</v>
      </c>
      <c r="AW95" s="16" t="n">
        <f aca="false">SUMIFS(AW$10:AW$23, $A$10:$A$23,$A95, $C$10:$C$23, "$ Actual")/SUMIFS(AW$10:AW$23, $A$10:$A$23,$A95, $C$10:$C$23, "$ Budgeted")</f>
        <v>0</v>
      </c>
      <c r="AY95" s="16" t="n">
        <f aca="false">SUMIFS(AY$10:AY$23, $A$10:$A$23,$A95, $C$10:$C$23, "$ Actual")/SUMIFS(AY$10:AY$23, $A$10:$A$23,$A95, $C$10:$C$23, "$ Budgeted")</f>
        <v>0.673383195929626</v>
      </c>
      <c r="AZ95" s="16" t="n">
        <f aca="false">SUMIFS(AZ$10:AZ$23, $A$10:$A$23,$A95, $C$10:$C$23, "$ Actual")/SUMIFS(AZ$10:AZ$23, $A$10:$A$23,$A95, $C$10:$C$23, "$ Budgeted")</f>
        <v>0.769575281432856</v>
      </c>
      <c r="BA95" s="16" t="n">
        <f aca="false">SUMIFS(BA$10:BA$23, $A$10:$A$23,$A95, $C$10:$C$23, "$ Actual")/SUMIFS(BA$10:BA$23, $A$10:$A$23,$A95, $C$10:$C$23, "$ Budgeted")</f>
        <v>0.736629943665272</v>
      </c>
      <c r="BB95" s="16" t="n">
        <f aca="false">SUMIFS(BB$10:BB$23, $A$10:$A$23,$A95, $C$10:$C$23, "$ Actual")/SUMIFS(BB$10:BB$23, $A$10:$A$23,$A95, $C$10:$C$23, "$ Budgeted")</f>
        <v>1.49946171373257</v>
      </c>
      <c r="BC95" s="16" t="n">
        <f aca="false">SUMIFS(BC$10:BC$23, $A$10:$A$23,$A95, $C$10:$C$23, "$ Actual")/SUMIFS(BC$10:BC$23, $A$10:$A$23,$A95, $C$10:$C$23, "$ Budgeted")</f>
        <v>1.17120554574026</v>
      </c>
      <c r="BE95" s="16" t="n">
        <f aca="false">SUMIFS(BE$10:BE$23, $A$10:$A$23,$A95, $C$10:$C$23, "$ Actual")/SUMIFS(BE$10:BE$23, $A$10:$A$23,$A95, $C$10:$C$23, "$ Budgeted")</f>
        <v>0.79779249782117</v>
      </c>
    </row>
    <row r="96" customFormat="false" ht="12.75" hidden="false" customHeight="true" outlineLevel="0" collapsed="false">
      <c r="A96" s="1" t="s">
        <v>54</v>
      </c>
      <c r="B96" s="1" t="n">
        <v>2025</v>
      </c>
      <c r="C96" s="1" t="s">
        <v>80</v>
      </c>
      <c r="D96" s="16" t="n">
        <f aca="false">SUMIFS(D$10:D$23, $A$10:$A$23,$A96, $C$10:$C$23, "$ Actual")/SUMIFS(D$10:D$23, $A$10:$A$23,$A96, $C$10:$C$23, "$ Budgeted")</f>
        <v>3.66285468590114</v>
      </c>
      <c r="E96" s="16" t="e">
        <f aca="false">SUMIFS(E$10:E$23, $A$10:$A$23,$A96, $C$10:$C$23, "$ Actual")/SUMIFS(E$10:E$23, $A$10:$A$23,$A96, $C$10:$C$23, "$ Budgeted")</f>
        <v>#DIV/0!</v>
      </c>
      <c r="F96" s="16" t="e">
        <f aca="false">SUMIFS(F$10:F$23, $A$10:$A$23,$A96, $C$10:$C$23, "$ Actual")/SUMIFS(F$10:F$23, $A$10:$A$23,$A96, $C$10:$C$23, "$ Budgeted")</f>
        <v>#DIV/0!</v>
      </c>
      <c r="G96" s="16" t="n">
        <f aca="false">SUMIFS(G$10:G$23, $A$10:$A$23,$A96, $C$10:$C$23, "$ Actual")/SUMIFS(G$10:G$23, $A$10:$A$23,$A96, $C$10:$C$23, "$ Budgeted")</f>
        <v>1.07085771784088</v>
      </c>
      <c r="H96" s="16" t="n">
        <f aca="false">SUMIFS(H$10:H$23, $A$10:$A$23,$A96, $C$10:$C$23, "$ Actual")/SUMIFS(H$10:H$23, $A$10:$A$23,$A96, $C$10:$C$23, "$ Budgeted")</f>
        <v>1.26140748359296</v>
      </c>
      <c r="I96" s="16" t="n">
        <f aca="false">SUMIFS(I$10:I$23, $A$10:$A$23,$A96, $C$10:$C$23, "$ Actual")/SUMIFS(I$10:I$23, $A$10:$A$23,$A96, $C$10:$C$23, "$ Budgeted")</f>
        <v>1.02207022554145</v>
      </c>
      <c r="J96" s="16" t="n">
        <f aca="false">SUMIFS(J$10:J$23, $A$10:$A$23,$A96, $C$10:$C$23, "$ Actual")/SUMIFS(J$10:J$23, $A$10:$A$23,$A96, $C$10:$C$23, "$ Budgeted")</f>
        <v>1.18285740950226</v>
      </c>
      <c r="K96" s="16" t="e">
        <f aca="false">SUMIFS(K$10:K$23, $A$10:$A$23,$A96, $C$10:$C$23, "$ Actual")/SUMIFS(K$10:K$23, $A$10:$A$23,$A96, $C$10:$C$23, "$ Budgeted")</f>
        <v>#DIV/0!</v>
      </c>
      <c r="L96" s="16" t="n">
        <f aca="false">SUMIFS(L$10:L$23, $A$10:$A$23,$A96, $C$10:$C$23, "$ Actual")/SUMIFS(L$10:L$23, $A$10:$A$23,$A96, $C$10:$C$23, "$ Budgeted")</f>
        <v>0.660970017309595</v>
      </c>
      <c r="M96" s="16" t="n">
        <f aca="false">SUMIFS(M$10:M$23, $A$10:$A$23,$A96, $C$10:$C$23, "$ Actual")/SUMIFS(M$10:M$23, $A$10:$A$23,$A96, $C$10:$C$23, "$ Budgeted")</f>
        <v>0.463178979670119</v>
      </c>
      <c r="N96" s="16"/>
      <c r="O96" s="16" t="n">
        <f aca="false">SUMIFS(O$10:O$23, $A$10:$A$23,$A96, $C$10:$C$23, "$ Actual")/SUMIFS(O$10:O$23, $A$10:$A$23,$A96, $C$10:$C$23, "$ Budgeted")</f>
        <v>0.150691</v>
      </c>
      <c r="P96" s="16" t="n">
        <f aca="false">SUMIFS(P$10:P$23, $A$10:$A$23,$A96, $C$10:$C$23, "$ Actual")/SUMIFS(P$10:P$23, $A$10:$A$23,$A96, $C$10:$C$23, "$ Budgeted")</f>
        <v>0.464948397629701</v>
      </c>
      <c r="Q96" s="16" t="n">
        <f aca="false">SUMIFS(Q$10:Q$23, $A$10:$A$23,$A96, $C$10:$C$23, "$ Actual")/SUMIFS(Q$10:Q$23, $A$10:$A$23,$A96, $C$10:$C$23, "$ Budgeted")</f>
        <v>0.997509903357013</v>
      </c>
      <c r="R96" s="16" t="n">
        <f aca="false">SUMIFS(R$10:R$23, $A$10:$A$23,$A96, $C$10:$C$23, "$ Actual")/SUMIFS(R$10:R$23, $A$10:$A$23,$A96, $C$10:$C$23, "$ Budgeted")</f>
        <v>0.265566978309649</v>
      </c>
      <c r="S96" s="16" t="n">
        <f aca="false">SUMIFS(S$10:S$23, $A$10:$A$23,$A96, $C$10:$C$23, "$ Actual")/SUMIFS(S$10:S$23, $A$10:$A$23,$A96, $C$10:$C$23, "$ Budgeted")</f>
        <v>1.05608733333333</v>
      </c>
      <c r="T96" s="16" t="n">
        <f aca="false">SUMIFS(T$10:T$23, $A$10:$A$23,$A96, $C$10:$C$23, "$ Actual")/SUMIFS(T$10:T$23, $A$10:$A$23,$A96, $C$10:$C$23, "$ Budgeted")</f>
        <v>0.857924206266209</v>
      </c>
      <c r="U96" s="16" t="n">
        <f aca="false">SUMIFS(U$10:U$23, $A$10:$A$23,$A96, $C$10:$C$23, "$ Actual")/SUMIFS(U$10:U$23, $A$10:$A$23,$A96, $C$10:$C$23, "$ Budgeted")</f>
        <v>0.692887237306102</v>
      </c>
      <c r="V96" s="16" t="n">
        <f aca="false">SUMIFS(V$10:V$23, $A$10:$A$23,$A96, $C$10:$C$23, "$ Actual")/SUMIFS(V$10:V$23, $A$10:$A$23,$A96, $C$10:$C$23, "$ Budgeted")</f>
        <v>0</v>
      </c>
      <c r="W96" s="16" t="n">
        <f aca="false">SUMIFS(W$10:W$23, $A$10:$A$23,$A96, $C$10:$C$23, "$ Actual")/SUMIFS(W$10:W$23, $A$10:$A$23,$A96, $C$10:$C$23, "$ Budgeted")</f>
        <v>0.741552523283517</v>
      </c>
      <c r="X96" s="16" t="n">
        <f aca="false">SUMIFS(X$10:X$23, $A$10:$A$23,$A96, $C$10:$C$23, "$ Actual")/SUMIFS(X$10:X$23, $A$10:$A$23,$A96, $C$10:$C$23, "$ Budgeted")</f>
        <v>0.146590639641064</v>
      </c>
      <c r="Y96" s="16" t="n">
        <f aca="false">SUMIFS(Y$10:Y$23, $A$10:$A$23,$A96, $C$10:$C$23, "$ Actual")/SUMIFS(Y$10:Y$23, $A$10:$A$23,$A96, $C$10:$C$23, "$ Budgeted")</f>
        <v>0.0787249683004679</v>
      </c>
      <c r="Z96" s="16"/>
      <c r="AA96" s="16" t="n">
        <f aca="false">SUMIFS(AA$10:AA$23, $A$10:$A$23,$A96, $C$10:$C$23, "$ Actual")/SUMIFS(AA$10:AA$23, $A$10:$A$23,$A96, $C$10:$C$23, "$ Budgeted")</f>
        <v>2.11252672851469</v>
      </c>
      <c r="AB96" s="16" t="n">
        <f aca="false">SUMIFS(AB$10:AB$23, $A$10:$A$23,$A96, $C$10:$C$23, "$ Actual")/SUMIFS(AB$10:AB$23, $A$10:$A$23,$A96, $C$10:$C$23, "$ Budgeted")</f>
        <v>0</v>
      </c>
      <c r="AC96" s="16"/>
      <c r="AD96" s="16" t="n">
        <f aca="false">SUMIFS(AD$10:AD$23, $A$10:$A$23,$A96, $C$10:$C$23, "$ Actual")/SUMIFS(AD$10:AD$23, $A$10:$A$23,$A96, $C$10:$C$23, "$ Budgeted")</f>
        <v>3.28121933345987</v>
      </c>
      <c r="AE96" s="16" t="n">
        <f aca="false">SUMIFS(AE$10:AE$23, $A$10:$A$23,$A96, $C$10:$C$23, "$ Actual")/SUMIFS(AE$10:AE$23, $A$10:$A$23,$A96, $C$10:$C$23, "$ Budgeted")</f>
        <v>4.48691860465116</v>
      </c>
      <c r="AF96" s="16" t="e">
        <f aca="false">SUMIFS(AF$10:AF$23, $A$10:$A$23,$A96, $C$10:$C$23, "$ Actual")/SUMIFS(AF$10:AF$23, $A$10:$A$23,$A96, $C$10:$C$23, "$ Budgeted")</f>
        <v>#DIV/0!</v>
      </c>
      <c r="AG96" s="16" t="n">
        <f aca="false">SUMIFS(AG$10:AG$23, $A$10:$A$23,$A96, $C$10:$C$23, "$ Actual")/SUMIFS(AG$10:AG$23, $A$10:$A$23,$A96, $C$10:$C$23, "$ Budgeted")</f>
        <v>1.26476577437859</v>
      </c>
      <c r="AH96" s="16" t="n">
        <f aca="false">SUMIFS(AH$10:AH$23, $A$10:$A$23,$A96, $C$10:$C$23, "$ Actual")/SUMIFS(AH$10:AH$23, $A$10:$A$23,$A96, $C$10:$C$23, "$ Budgeted")</f>
        <v>1.31094142785319</v>
      </c>
      <c r="AI96" s="16" t="n">
        <f aca="false">SUMIFS(AI$10:AI$23, $A$10:$A$23,$A96, $C$10:$C$23, "$ Actual")/SUMIFS(AI$10:AI$23, $A$10:$A$23,$A96, $C$10:$C$23, "$ Budgeted")</f>
        <v>1.58718563069451</v>
      </c>
      <c r="AJ96" s="16" t="n">
        <f aca="false">SUMIFS(AJ$10:AJ$23, $A$10:$A$23,$A96, $C$10:$C$23, "$ Actual")/SUMIFS(AJ$10:AJ$23, $A$10:$A$23,$A96, $C$10:$C$23, "$ Budgeted")</f>
        <v>0.524490012202984</v>
      </c>
      <c r="AK96" s="16"/>
      <c r="AL96" s="16" t="n">
        <f aca="false">SUMIFS(AL$10:AL$23, $A$10:$A$23,$A96, $C$10:$C$23, "$ Actual")/SUMIFS(AL$10:AL$23, $A$10:$A$23,$A96, $C$10:$C$23, "$ Budgeted")</f>
        <v>0.727226061931239</v>
      </c>
      <c r="AM96" s="16" t="n">
        <f aca="false">SUMIFS(AM$10:AM$23, $A$10:$A$23,$A96, $C$10:$C$23, "$ Actual")/SUMIFS(AM$10:AM$23, $A$10:$A$23,$A96, $C$10:$C$23, "$ Budgeted")</f>
        <v>0.2312010625</v>
      </c>
      <c r="AN96" s="16" t="n">
        <f aca="false">SUMIFS(AN$10:AN$23, $A$10:$A$23,$A96, $C$10:$C$23, "$ Actual")/SUMIFS(AN$10:AN$23, $A$10:$A$23,$A96, $C$10:$C$23, "$ Budgeted")</f>
        <v>0</v>
      </c>
      <c r="AO96" s="16" t="n">
        <f aca="false">SUMIFS(AO$10:AO$23, $A$10:$A$23,$A96, $C$10:$C$23, "$ Actual")/SUMIFS(AO$10:AO$23, $A$10:$A$23,$A96, $C$10:$C$23, "$ Budgeted")</f>
        <v>0</v>
      </c>
      <c r="AP96" s="16" t="n">
        <f aca="false">SUMIFS(AP$10:AP$23, $A$10:$A$23,$A96, $C$10:$C$23, "$ Actual")/SUMIFS(AP$10:AP$23, $A$10:$A$23,$A96, $C$10:$C$23, "$ Budgeted")</f>
        <v>1.02234651638964</v>
      </c>
      <c r="AQ96" s="16" t="n">
        <f aca="false">SUMIFS(AQ$10:AQ$23, $A$10:$A$23,$A96, $C$10:$C$23, "$ Actual")/SUMIFS(AQ$10:AQ$23, $A$10:$A$23,$A96, $C$10:$C$23, "$ Budgeted")</f>
        <v>0.286506504679472</v>
      </c>
      <c r="AR96" s="16" t="n">
        <f aca="false">SUMIFS(AR$10:AR$23, $A$10:$A$23,$A96, $C$10:$C$23, "$ Actual")/SUMIFS(AR$10:AR$23, $A$10:$A$23,$A96, $C$10:$C$23, "$ Budgeted")</f>
        <v>1.2373239100844</v>
      </c>
      <c r="AS96" s="16" t="e">
        <f aca="false">SUMIFS(AS$10:AS$23, $A$10:$A$23,$A96, $C$10:$C$23, "$ Actual")/SUMIFS(AS$10:AS$23, $A$10:$A$23,$A96, $C$10:$C$23, "$ Budgeted")</f>
        <v>#DIV/0!</v>
      </c>
      <c r="AT96" s="16" t="e">
        <f aca="false">SUMIFS(AT$10:AT$23, $A$10:$A$23,$A96, $C$10:$C$23, "$ Actual")/SUMIFS(AT$10:AT$23, $A$10:$A$23,$A96, $C$10:$C$23, "$ Budgeted")</f>
        <v>#DIV/0!</v>
      </c>
      <c r="AU96" s="16" t="e">
        <f aca="false">SUMIFS(AU$10:AU$23, $A$10:$A$23,$A96, $C$10:$C$23, "$ Actual")/SUMIFS(AU$10:AU$23, $A$10:$A$23,$A96, $C$10:$C$23, "$ Budgeted")</f>
        <v>#DIV/0!</v>
      </c>
      <c r="AV96" s="16" t="n">
        <f aca="false">SUMIFS(AV$10:AV$23, $A$10:$A$23,$A96, $C$10:$C$23, "$ Actual")/SUMIFS(AV$10:AV$23, $A$10:$A$23,$A96, $C$10:$C$23, "$ Budgeted")</f>
        <v>0</v>
      </c>
      <c r="AW96" s="16" t="n">
        <f aca="false">SUMIFS(AW$10:AW$23, $A$10:$A$23,$A96, $C$10:$C$23, "$ Actual")/SUMIFS(AW$10:AW$23, $A$10:$A$23,$A96, $C$10:$C$23, "$ Budgeted")</f>
        <v>0</v>
      </c>
      <c r="AY96" s="16" t="n">
        <f aca="false">SUMIFS(AY$10:AY$23, $A$10:$A$23,$A96, $C$10:$C$23, "$ Actual")/SUMIFS(AY$10:AY$23, $A$10:$A$23,$A96, $C$10:$C$23, "$ Budgeted")</f>
        <v>0.457413472127674</v>
      </c>
      <c r="AZ96" s="16" t="n">
        <f aca="false">SUMIFS(AZ$10:AZ$23, $A$10:$A$23,$A96, $C$10:$C$23, "$ Actual")/SUMIFS(AZ$10:AZ$23, $A$10:$A$23,$A96, $C$10:$C$23, "$ Budgeted")</f>
        <v>1.12641471634586</v>
      </c>
      <c r="BA96" s="16" t="n">
        <f aca="false">SUMIFS(BA$10:BA$23, $A$10:$A$23,$A96, $C$10:$C$23, "$ Actual")/SUMIFS(BA$10:BA$23, $A$10:$A$23,$A96, $C$10:$C$23, "$ Budgeted")</f>
        <v>0.503296623687758</v>
      </c>
      <c r="BB96" s="16" t="n">
        <f aca="false">SUMIFS(BB$10:BB$23, $A$10:$A$23,$A96, $C$10:$C$23, "$ Actual")/SUMIFS(BB$10:BB$23, $A$10:$A$23,$A96, $C$10:$C$23, "$ Budgeted")</f>
        <v>0.900849897323832</v>
      </c>
      <c r="BC96" s="16" t="n">
        <f aca="false">SUMIFS(BC$10:BC$23, $A$10:$A$23,$A96, $C$10:$C$23, "$ Actual")/SUMIFS(BC$10:BC$23, $A$10:$A$23,$A96, $C$10:$C$23, "$ Budgeted")</f>
        <v>1.44807226096265</v>
      </c>
      <c r="BE96" s="16" t="n">
        <f aca="false">SUMIFS(BE$10:BE$23, $A$10:$A$23,$A96, $C$10:$C$23, "$ Actual")/SUMIFS(BE$10:BE$23, $A$10:$A$23,$A96, $C$10:$C$23, "$ Budgeted")</f>
        <v>0.842414413209696</v>
      </c>
    </row>
    <row r="97" customFormat="false" ht="12.75" hidden="false" customHeight="true" outlineLevel="0" collapsed="false">
      <c r="A97" s="1" t="s">
        <v>78</v>
      </c>
      <c r="B97" s="1" t="n">
        <v>2025</v>
      </c>
      <c r="C97" s="1" t="s">
        <v>80</v>
      </c>
      <c r="D97" s="16" t="n">
        <f aca="false">(D11+D13)/(D10+D12)</f>
        <v>1.10000921257232</v>
      </c>
      <c r="E97" s="16" t="n">
        <f aca="false">(E11+E13)/(E10+E12)</f>
        <v>0.968926436837519</v>
      </c>
      <c r="F97" s="16" t="n">
        <f aca="false">(F11+F13)/(F10+F12)</f>
        <v>0.844251663862579</v>
      </c>
      <c r="G97" s="16" t="n">
        <f aca="false">(G11+G13)/(G10+G12)</f>
        <v>0.882083414045653</v>
      </c>
      <c r="H97" s="16" t="n">
        <f aca="false">(H11+H13)/(H10+H12)</f>
        <v>0.852363421494043</v>
      </c>
      <c r="I97" s="16" t="n">
        <f aca="false">(I11+I13)/(I10+I12)</f>
        <v>1.22791071812429</v>
      </c>
      <c r="J97" s="16" t="n">
        <f aca="false">(J11+J13)/(J10+J12)</f>
        <v>0.912930167885495</v>
      </c>
      <c r="K97" s="16" t="n">
        <f aca="false">(K11+K13)/(K10+K12)</f>
        <v>0.655749461201445</v>
      </c>
      <c r="L97" s="16" t="n">
        <f aca="false">(L11+L13)/(L10+L12)</f>
        <v>0.506627016026309</v>
      </c>
      <c r="M97" s="16" t="n">
        <f aca="false">(M11+M13)/(M10+M12)</f>
        <v>0.190912715084879</v>
      </c>
      <c r="N97" s="16"/>
      <c r="O97" s="16" t="n">
        <f aca="false">(O11+O13)/(O10+O12)</f>
        <v>0.967517770937495</v>
      </c>
      <c r="P97" s="16" t="n">
        <f aca="false">(P11+P13)/(P10+P12)</f>
        <v>0.617097215654176</v>
      </c>
      <c r="Q97" s="16" t="n">
        <f aca="false">(Q11+Q13)/(Q10+Q12)</f>
        <v>1.49776243025504</v>
      </c>
      <c r="R97" s="16" t="n">
        <f aca="false">(R11+R13)/(R10+R12)</f>
        <v>0.265566978309649</v>
      </c>
      <c r="S97" s="16" t="n">
        <f aca="false">(S11+S13)/(S10+S12)</f>
        <v>1.15072727697188</v>
      </c>
      <c r="T97" s="16" t="n">
        <f aca="false">(T11+T13)/(T10+T12)</f>
        <v>0.68563675690677</v>
      </c>
      <c r="U97" s="16" t="n">
        <f aca="false">(U11+U13)/(U10+U12)</f>
        <v>0.459750145239636</v>
      </c>
      <c r="V97" s="16" t="n">
        <f aca="false">(V11+V13)/(V10+V12)</f>
        <v>0.76549142497084</v>
      </c>
      <c r="W97" s="16" t="n">
        <f aca="false">(W11+W13)/(W10+W12)</f>
        <v>0.61527524026802</v>
      </c>
      <c r="X97" s="16" t="n">
        <f aca="false">(X11+X13)/(X10+X12)</f>
        <v>0.0749650952932383</v>
      </c>
      <c r="Y97" s="16" t="n">
        <f aca="false">(Y11+Y13)/(Y10+Y12)</f>
        <v>0.0356869773603894</v>
      </c>
      <c r="Z97" s="16"/>
      <c r="AA97" s="16" t="n">
        <f aca="false">(AA11+AA13)/(AA10+AA12)</f>
        <v>1.61789053962997</v>
      </c>
      <c r="AB97" s="16" t="n">
        <f aca="false">(AB11+AB13)/(AB10+AB12)</f>
        <v>0.884650283631867</v>
      </c>
      <c r="AC97" s="16"/>
      <c r="AD97" s="16" t="n">
        <f aca="false">(AD11+AD13)/(AD10+AD12)</f>
        <v>2.55385758194523</v>
      </c>
      <c r="AE97" s="16" t="n">
        <f aca="false">(AE11+AE13)/(AE10+AE12)</f>
        <v>1.92743717898808</v>
      </c>
      <c r="AF97" s="16" t="e">
        <f aca="false">(AF11+AF13)/(AF10+AF12)</f>
        <v>#DIV/0!</v>
      </c>
      <c r="AG97" s="16" t="n">
        <f aca="false">(AG11+AG13)/(AG10+AG12)</f>
        <v>1.18961905415455</v>
      </c>
      <c r="AH97" s="16" t="n">
        <f aca="false">(AH11+AH13)/(AH10+AH12)</f>
        <v>0.993639713211672</v>
      </c>
      <c r="AI97" s="16" t="n">
        <f aca="false">(AI11+AI13)/(AI10+AI12)</f>
        <v>1.17245585266726</v>
      </c>
      <c r="AJ97" s="16" t="n">
        <f aca="false">(AJ11+AJ13)/(AJ10+AJ12)</f>
        <v>0.787821324933669</v>
      </c>
      <c r="AK97" s="16"/>
      <c r="AL97" s="16" t="n">
        <f aca="false">(AL11+AL13)/(AL10+AL12)</f>
        <v>0.729317809599338</v>
      </c>
      <c r="AM97" s="16" t="n">
        <f aca="false">(AM11+AM13)/(AM10+AM12)</f>
        <v>0.120102471563127</v>
      </c>
      <c r="AN97" s="16" t="n">
        <f aca="false">(AN11+AN13)/(AN10+AN12)</f>
        <v>1.04687493147256</v>
      </c>
      <c r="AO97" s="16" t="n">
        <f aca="false">(AO11+AO13)/(AO10+AO12)</f>
        <v>1.16074704005733</v>
      </c>
      <c r="AP97" s="16" t="n">
        <f aca="false">(AP11+AP13)/(AP10+AP12)</f>
        <v>0.704230128870562</v>
      </c>
      <c r="AQ97" s="16" t="n">
        <f aca="false">(AQ11+AQ13)/(AQ10+AQ12)</f>
        <v>0.496385039372075</v>
      </c>
      <c r="AR97" s="16" t="n">
        <f aca="false">(AR11+AR13)/(AR10+AR12)</f>
        <v>1.14389847989638</v>
      </c>
      <c r="AS97" s="16" t="e">
        <f aca="false">(AS11+AS13)/(AS10+AS12)</f>
        <v>#DIV/0!</v>
      </c>
      <c r="AT97" s="16" t="n">
        <f aca="false">(AT11+AT13)/(AT10+AT12)</f>
        <v>0.392069014965991</v>
      </c>
      <c r="AU97" s="16" t="n">
        <f aca="false">(AU11+AU13)/(AU10+AU12)</f>
        <v>0.584759283295966</v>
      </c>
      <c r="AV97" s="16" t="n">
        <f aca="false">(AV11+AV13)/(AV10+AV12)</f>
        <v>0.0265427374499325</v>
      </c>
      <c r="AW97" s="16" t="n">
        <f aca="false">(AW11+AW13)/(AW10+AW12)</f>
        <v>0</v>
      </c>
      <c r="AX97" s="16"/>
      <c r="AY97" s="16" t="n">
        <f aca="false">(AY11+AY13)/(AY10+AY12)</f>
        <v>0.644272955524244</v>
      </c>
      <c r="AZ97" s="16" t="n">
        <f aca="false">(AZ11+AZ13)/(AZ10+AZ12)</f>
        <v>0.861330240967771</v>
      </c>
      <c r="BA97" s="16" t="n">
        <f aca="false">(BA11+BA13)/(BA10+BA12)</f>
        <v>0.656681727239581</v>
      </c>
      <c r="BB97" s="16" t="n">
        <f aca="false">(BB11+BB13)/(BB10+BB12)</f>
        <v>1.26474713459708</v>
      </c>
      <c r="BC97" s="16" t="n">
        <f aca="false">(BC11+BC13)/(BC10+BC12)</f>
        <v>1.25522044027762</v>
      </c>
      <c r="BD97" s="16"/>
      <c r="BE97" s="16" t="n">
        <f aca="false">(BE11+BE13)/(BE10+BE12)</f>
        <v>0.808950618955959</v>
      </c>
    </row>
    <row r="98" customFormat="false" ht="12.75" hidden="false" customHeight="true" outlineLevel="0" collapsed="false">
      <c r="A98" s="1" t="s">
        <v>55</v>
      </c>
      <c r="B98" s="1" t="n">
        <v>2025</v>
      </c>
      <c r="C98" s="1" t="s">
        <v>80</v>
      </c>
      <c r="D98" s="16" t="n">
        <f aca="false">SUMIFS(D$10:D$23, $A$10:$A$23,$A98, $C$10:$C$23, "$ Actual")/SUMIFS(D$10:D$23, $A$10:$A$23,$A98, $C$10:$C$23, "$ Budgeted")</f>
        <v>1.18346328849395</v>
      </c>
      <c r="E98" s="16" t="n">
        <f aca="false">SUMIFS(E$10:E$23, $A$10:$A$23,$A98, $C$10:$C$23, "$ Actual")/SUMIFS(E$10:E$23, $A$10:$A$23,$A98, $C$10:$C$23, "$ Budgeted")</f>
        <v>1.90576621844749</v>
      </c>
      <c r="F98" s="16" t="n">
        <f aca="false">SUMIFS(F$10:F$23, $A$10:$A$23,$A98, $C$10:$C$23, "$ Actual")/SUMIFS(F$10:F$23, $A$10:$A$23,$A98, $C$10:$C$23, "$ Budgeted")</f>
        <v>1.1951487727515</v>
      </c>
      <c r="G98" s="16" t="n">
        <f aca="false">SUMIFS(G$10:G$23, $A$10:$A$23,$A98, $C$10:$C$23, "$ Actual")/SUMIFS(G$10:G$23, $A$10:$A$23,$A98, $C$10:$C$23, "$ Budgeted")</f>
        <v>1.64496539862592</v>
      </c>
      <c r="H98" s="16" t="n">
        <f aca="false">SUMIFS(H$10:H$23, $A$10:$A$23,$A98, $C$10:$C$23, "$ Actual")/SUMIFS(H$10:H$23, $A$10:$A$23,$A98, $C$10:$C$23, "$ Budgeted")</f>
        <v>1.76750960839048</v>
      </c>
      <c r="I98" s="16" t="n">
        <f aca="false">SUMIFS(I$10:I$23, $A$10:$A$23,$A98, $C$10:$C$23, "$ Actual")/SUMIFS(I$10:I$23, $A$10:$A$23,$A98, $C$10:$C$23, "$ Budgeted")</f>
        <v>1.41079507444067</v>
      </c>
      <c r="J98" s="16" t="n">
        <f aca="false">SUMIFS(J$10:J$23, $A$10:$A$23,$A98, $C$10:$C$23, "$ Actual")/SUMIFS(J$10:J$23, $A$10:$A$23,$A98, $C$10:$C$23, "$ Budgeted")</f>
        <v>1.35566792202881</v>
      </c>
      <c r="K98" s="16" t="n">
        <f aca="false">SUMIFS(K$10:K$23, $A$10:$A$23,$A98, $C$10:$C$23, "$ Actual")/SUMIFS(K$10:K$23, $A$10:$A$23,$A98, $C$10:$C$23, "$ Budgeted")</f>
        <v>1.37472542176769</v>
      </c>
      <c r="L98" s="16" t="n">
        <f aca="false">SUMIFS(L$10:L$23, $A$10:$A$23,$A98, $C$10:$C$23, "$ Actual")/SUMIFS(L$10:L$23, $A$10:$A$23,$A98, $C$10:$C$23, "$ Budgeted")</f>
        <v>1.24375885604422</v>
      </c>
      <c r="M98" s="16" t="n">
        <f aca="false">SUMIFS(M$10:M$23, $A$10:$A$23,$A98, $C$10:$C$23, "$ Actual")/SUMIFS(M$10:M$23, $A$10:$A$23,$A98, $C$10:$C$23, "$ Budgeted")</f>
        <v>1.13342163098805</v>
      </c>
      <c r="N98" s="16"/>
      <c r="O98" s="16" t="n">
        <f aca="false">SUMIFS(O$10:O$23, $A$10:$A$23,$A98, $C$10:$C$23, "$ Actual")/SUMIFS(O$10:O$23, $A$10:$A$23,$A98, $C$10:$C$23, "$ Budgeted")</f>
        <v>1.99731149897179</v>
      </c>
      <c r="P98" s="16" t="n">
        <f aca="false">SUMIFS(P$10:P$23, $A$10:$A$23,$A98, $C$10:$C$23, "$ Actual")/SUMIFS(P$10:P$23, $A$10:$A$23,$A98, $C$10:$C$23, "$ Budgeted")</f>
        <v>1.80147739383139</v>
      </c>
      <c r="Q98" s="16" t="n">
        <f aca="false">SUMIFS(Q$10:Q$23, $A$10:$A$23,$A98, $C$10:$C$23, "$ Actual")/SUMIFS(Q$10:Q$23, $A$10:$A$23,$A98, $C$10:$C$23, "$ Budgeted")</f>
        <v>1.80630996620708</v>
      </c>
      <c r="R98" s="16" t="n">
        <f aca="false">SUMIFS(R$10:R$23, $A$10:$A$23,$A98, $C$10:$C$23, "$ Actual")/SUMIFS(R$10:R$23, $A$10:$A$23,$A98, $C$10:$C$23, "$ Budgeted")</f>
        <v>1.93077708302648</v>
      </c>
      <c r="S98" s="16" t="n">
        <f aca="false">SUMIFS(S$10:S$23, $A$10:$A$23,$A98, $C$10:$C$23, "$ Actual")/SUMIFS(S$10:S$23, $A$10:$A$23,$A98, $C$10:$C$23, "$ Budgeted")</f>
        <v>1.47708560940447</v>
      </c>
      <c r="T98" s="16" t="n">
        <f aca="false">SUMIFS(T$10:T$23, $A$10:$A$23,$A98, $C$10:$C$23, "$ Actual")/SUMIFS(T$10:T$23, $A$10:$A$23,$A98, $C$10:$C$23, "$ Budgeted")</f>
        <v>1.26512123287118</v>
      </c>
      <c r="U98" s="16" t="n">
        <f aca="false">SUMIFS(U$10:U$23, $A$10:$A$23,$A98, $C$10:$C$23, "$ Actual")/SUMIFS(U$10:U$23, $A$10:$A$23,$A98, $C$10:$C$23, "$ Budgeted")</f>
        <v>1.61648468810908</v>
      </c>
      <c r="V98" s="16" t="n">
        <f aca="false">SUMIFS(V$10:V$23, $A$10:$A$23,$A98, $C$10:$C$23, "$ Actual")/SUMIFS(V$10:V$23, $A$10:$A$23,$A98, $C$10:$C$23, "$ Budgeted")</f>
        <v>1.56629215337502</v>
      </c>
      <c r="W98" s="16" t="n">
        <f aca="false">SUMIFS(W$10:W$23, $A$10:$A$23,$A98, $C$10:$C$23, "$ Actual")/SUMIFS(W$10:W$23, $A$10:$A$23,$A98, $C$10:$C$23, "$ Budgeted")</f>
        <v>1.18417941362813</v>
      </c>
      <c r="X98" s="16" t="n">
        <f aca="false">SUMIFS(X$10:X$23, $A$10:$A$23,$A98, $C$10:$C$23, "$ Actual")/SUMIFS(X$10:X$23, $A$10:$A$23,$A98, $C$10:$C$23, "$ Budgeted")</f>
        <v>0.527584742567078</v>
      </c>
      <c r="Y98" s="16" t="n">
        <f aca="false">SUMIFS(Y$10:Y$23, $A$10:$A$23,$A98, $C$10:$C$23, "$ Actual")/SUMIFS(Y$10:Y$23, $A$10:$A$23,$A98, $C$10:$C$23, "$ Budgeted")</f>
        <v>0.212447709850517</v>
      </c>
      <c r="Z98" s="16"/>
      <c r="AA98" s="16" t="n">
        <f aca="false">SUMIFS(AA$10:AA$23, $A$10:$A$23,$A98, $C$10:$C$23, "$ Actual")/SUMIFS(AA$10:AA$23, $A$10:$A$23,$A98, $C$10:$C$23, "$ Budgeted")</f>
        <v>1.13133771223504</v>
      </c>
      <c r="AB98" s="16" t="n">
        <f aca="false">SUMIFS(AB$10:AB$23, $A$10:$A$23,$A98, $C$10:$C$23, "$ Actual")/SUMIFS(AB$10:AB$23, $A$10:$A$23,$A98, $C$10:$C$23, "$ Budgeted")</f>
        <v>1.30249236766989</v>
      </c>
      <c r="AC98" s="16"/>
      <c r="AD98" s="16" t="n">
        <f aca="false">SUMIFS(AD$10:AD$23, $A$10:$A$23,$A98, $C$10:$C$23, "$ Actual")/SUMIFS(AD$10:AD$23, $A$10:$A$23,$A98, $C$10:$C$23, "$ Budgeted")</f>
        <v>1.95210258186846</v>
      </c>
      <c r="AE98" s="16" t="n">
        <f aca="false">SUMIFS(AE$10:AE$23, $A$10:$A$23,$A98, $C$10:$C$23, "$ Actual")/SUMIFS(AE$10:AE$23, $A$10:$A$23,$A98, $C$10:$C$23, "$ Budgeted")</f>
        <v>1.87450704333908</v>
      </c>
      <c r="AF98" s="16" t="e">
        <f aca="false">SUMIFS(AF$10:AF$23, $A$10:$A$23,$A98, $C$10:$C$23, "$ Actual")/SUMIFS(AF$10:AF$23, $A$10:$A$23,$A98, $C$10:$C$23, "$ Budgeted")</f>
        <v>#DIV/0!</v>
      </c>
      <c r="AG98" s="16" t="n">
        <f aca="false">SUMIFS(AG$10:AG$23, $A$10:$A$23,$A98, $C$10:$C$23, "$ Actual")/SUMIFS(AG$10:AG$23, $A$10:$A$23,$A98, $C$10:$C$23, "$ Budgeted")</f>
        <v>1.12975312323955</v>
      </c>
      <c r="AH98" s="16" t="n">
        <f aca="false">SUMIFS(AH$10:AH$23, $A$10:$A$23,$A98, $C$10:$C$23, "$ Actual")/SUMIFS(AH$10:AH$23, $A$10:$A$23,$A98, $C$10:$C$23, "$ Budgeted")</f>
        <v>1.37249650875497</v>
      </c>
      <c r="AI98" s="16" t="n">
        <f aca="false">SUMIFS(AI$10:AI$23, $A$10:$A$23,$A98, $C$10:$C$23, "$ Actual")/SUMIFS(AI$10:AI$23, $A$10:$A$23,$A98, $C$10:$C$23, "$ Budgeted")</f>
        <v>1.09112792341928</v>
      </c>
      <c r="AJ98" s="16" t="n">
        <f aca="false">SUMIFS(AJ$10:AJ$23, $A$10:$A$23,$A98, $C$10:$C$23, "$ Actual")/SUMIFS(AJ$10:AJ$23, $A$10:$A$23,$A98, $C$10:$C$23, "$ Budgeted")</f>
        <v>0.981466350659401</v>
      </c>
      <c r="AK98" s="16"/>
      <c r="AL98" s="16" t="n">
        <f aca="false">SUMIFS(AL$10:AL$23, $A$10:$A$23,$A98, $C$10:$C$23, "$ Actual")/SUMIFS(AL$10:AL$23, $A$10:$A$23,$A98, $C$10:$C$23, "$ Budgeted")</f>
        <v>1.17612003459779</v>
      </c>
      <c r="AM98" s="16" t="n">
        <f aca="false">SUMIFS(AM$10:AM$23, $A$10:$A$23,$A98, $C$10:$C$23, "$ Actual")/SUMIFS(AM$10:AM$23, $A$10:$A$23,$A98, $C$10:$C$23, "$ Budgeted")</f>
        <v>0.260252881101842</v>
      </c>
      <c r="AN98" s="16" t="n">
        <f aca="false">SUMIFS(AN$10:AN$23, $A$10:$A$23,$A98, $C$10:$C$23, "$ Actual")/SUMIFS(AN$10:AN$23, $A$10:$A$23,$A98, $C$10:$C$23, "$ Budgeted")</f>
        <v>1.24405164638047</v>
      </c>
      <c r="AO98" s="16" t="n">
        <f aca="false">SUMIFS(AO$10:AO$23, $A$10:$A$23,$A98, $C$10:$C$23, "$ Actual")/SUMIFS(AO$10:AO$23, $A$10:$A$23,$A98, $C$10:$C$23, "$ Budgeted")</f>
        <v>1.34727748033149</v>
      </c>
      <c r="AP98" s="16" t="n">
        <f aca="false">SUMIFS(AP$10:AP$23, $A$10:$A$23,$A98, $C$10:$C$23, "$ Actual")/SUMIFS(AP$10:AP$23, $A$10:$A$23,$A98, $C$10:$C$23, "$ Budgeted")</f>
        <v>1.35684009357946</v>
      </c>
      <c r="AQ98" s="16" t="n">
        <f aca="false">SUMIFS(AQ$10:AQ$23, $A$10:$A$23,$A98, $C$10:$C$23, "$ Actual")/SUMIFS(AQ$10:AQ$23, $A$10:$A$23,$A98, $C$10:$C$23, "$ Budgeted")</f>
        <v>1.26844237963174</v>
      </c>
      <c r="AR98" s="16" t="n">
        <f aca="false">SUMIFS(AR$10:AR$23, $A$10:$A$23,$A98, $C$10:$C$23, "$ Actual")/SUMIFS(AR$10:AR$23, $A$10:$A$23,$A98, $C$10:$C$23, "$ Budgeted")</f>
        <v>1.36709478993197</v>
      </c>
      <c r="AS98" s="16" t="n">
        <f aca="false">SUMIFS(AS$10:AS$23, $A$10:$A$23,$A98, $C$10:$C$23, "$ Actual")/SUMIFS(AS$10:AS$23, $A$10:$A$23,$A98, $C$10:$C$23, "$ Budgeted")</f>
        <v>1.1051111382511</v>
      </c>
      <c r="AT98" s="16" t="n">
        <f aca="false">SUMIFS(AT$10:AT$23, $A$10:$A$23,$A98, $C$10:$C$23, "$ Actual")/SUMIFS(AT$10:AT$23, $A$10:$A$23,$A98, $C$10:$C$23, "$ Budgeted")</f>
        <v>0.736750361271676</v>
      </c>
      <c r="AU98" s="16" t="n">
        <f aca="false">SUMIFS(AU$10:AU$23, $A$10:$A$23,$A98, $C$10:$C$23, "$ Actual")/SUMIFS(AU$10:AU$23, $A$10:$A$23,$A98, $C$10:$C$23, "$ Budgeted")</f>
        <v>1.48746801703545</v>
      </c>
      <c r="AV98" s="16" t="e">
        <f aca="false">SUMIFS(AV$10:AV$23, $A$10:$A$23,$A98, $C$10:$C$23, "$ Actual")/SUMIFS(AV$10:AV$23, $A$10:$A$23,$A98, $C$10:$C$23, "$ Budgeted")</f>
        <v>#DIV/0!</v>
      </c>
      <c r="AW98" s="16" t="n">
        <f aca="false">SUMIFS(AW$10:AW$23, $A$10:$A$23,$A98, $C$10:$C$23, "$ Actual")/SUMIFS(AW$10:AW$23, $A$10:$A$23,$A98, $C$10:$C$23, "$ Budgeted")</f>
        <v>0</v>
      </c>
      <c r="AY98" s="16" t="n">
        <f aca="false">SUMIFS(AY$10:AY$23, $A$10:$A$23,$A98, $C$10:$C$23, "$ Actual")/SUMIFS(AY$10:AY$23, $A$10:$A$23,$A98, $C$10:$C$23, "$ Budgeted")</f>
        <v>1.13009084659726</v>
      </c>
      <c r="AZ98" s="16" t="n">
        <f aca="false">SUMIFS(AZ$10:AZ$23, $A$10:$A$23,$A98, $C$10:$C$23, "$ Actual")/SUMIFS(AZ$10:AZ$23, $A$10:$A$23,$A98, $C$10:$C$23, "$ Budgeted")</f>
        <v>1.3552121583214</v>
      </c>
      <c r="BA98" s="16" t="n">
        <f aca="false">SUMIFS(BA$10:BA$23, $A$10:$A$23,$A98, $C$10:$C$23, "$ Actual")/SUMIFS(BA$10:BA$23, $A$10:$A$23,$A98, $C$10:$C$23, "$ Budgeted")</f>
        <v>1.28404190616908</v>
      </c>
      <c r="BB98" s="16" t="n">
        <f aca="false">SUMIFS(BB$10:BB$23, $A$10:$A$23,$A98, $C$10:$C$23, "$ Actual")/SUMIFS(BB$10:BB$23, $A$10:$A$23,$A98, $C$10:$C$23, "$ Budgeted")</f>
        <v>1.26220559963531</v>
      </c>
      <c r="BC98" s="16" t="n">
        <f aca="false">SUMIFS(BC$10:BC$23, $A$10:$A$23,$A98, $C$10:$C$23, "$ Actual")/SUMIFS(BC$10:BC$23, $A$10:$A$23,$A98, $C$10:$C$23, "$ Budgeted")</f>
        <v>1.29702684434028</v>
      </c>
      <c r="BE98" s="16" t="n">
        <f aca="false">SUMIFS(BE$10:BE$23, $A$10:$A$23,$A98, $C$10:$C$23, "$ Actual")/SUMIFS(BE$10:BE$23, $A$10:$A$23,$A98, $C$10:$C$23, "$ Budgeted")</f>
        <v>1.26763494896867</v>
      </c>
    </row>
    <row r="99" customFormat="false" ht="12.75" hidden="false" customHeight="true" outlineLevel="0" collapsed="false">
      <c r="A99" s="1" t="s">
        <v>56</v>
      </c>
      <c r="B99" s="1" t="n">
        <v>2025</v>
      </c>
      <c r="C99" s="1" t="s">
        <v>80</v>
      </c>
      <c r="D99" s="16" t="n">
        <f aca="false">SUMIFS(D$10:D$23, $A$10:$A$23,$A99, $C$10:$C$23, "$ Actual")/SUMIFS(D$10:D$23, $A$10:$A$23,$A99, $C$10:$C$23, "$ Budgeted")</f>
        <v>0.913465555555556</v>
      </c>
      <c r="E99" s="16" t="n">
        <f aca="false">SUMIFS(E$10:E$23, $A$10:$A$23,$A99, $C$10:$C$23, "$ Actual")/SUMIFS(E$10:E$23, $A$10:$A$23,$A99, $C$10:$C$23, "$ Budgeted")</f>
        <v>0.647667879757524</v>
      </c>
      <c r="F99" s="16" t="n">
        <f aca="false">SUMIFS(F$10:F$23, $A$10:$A$23,$A99, $C$10:$C$23, "$ Actual")/SUMIFS(F$10:F$23, $A$10:$A$23,$A99, $C$10:$C$23, "$ Budgeted")</f>
        <v>0.922858719258951</v>
      </c>
      <c r="G99" s="16" t="n">
        <f aca="false">SUMIFS(G$10:G$23, $A$10:$A$23,$A99, $C$10:$C$23, "$ Actual")/SUMIFS(G$10:G$23, $A$10:$A$23,$A99, $C$10:$C$23, "$ Budgeted")</f>
        <v>1.04928009781651</v>
      </c>
      <c r="H99" s="16" t="n">
        <f aca="false">SUMIFS(H$10:H$23, $A$10:$A$23,$A99, $C$10:$C$23, "$ Actual")/SUMIFS(H$10:H$23, $A$10:$A$23,$A99, $C$10:$C$23, "$ Budgeted")</f>
        <v>0.952729282868284</v>
      </c>
      <c r="I99" s="16" t="n">
        <f aca="false">SUMIFS(I$10:I$23, $A$10:$A$23,$A99, $C$10:$C$23, "$ Actual")/SUMIFS(I$10:I$23, $A$10:$A$23,$A99, $C$10:$C$23, "$ Budgeted")</f>
        <v>1.09826752049089</v>
      </c>
      <c r="J99" s="16" t="n">
        <f aca="false">SUMIFS(J$10:J$23, $A$10:$A$23,$A99, $C$10:$C$23, "$ Actual")/SUMIFS(J$10:J$23, $A$10:$A$23,$A99, $C$10:$C$23, "$ Budgeted")</f>
        <v>0.875031922035067</v>
      </c>
      <c r="K99" s="16" t="e">
        <f aca="false">SUMIFS(K$10:K$23, $A$10:$A$23,$A99, $C$10:$C$23, "$ Actual")/SUMIFS(K$10:K$23, $A$10:$A$23,$A99, $C$10:$C$23, "$ Budgeted")</f>
        <v>#DIV/0!</v>
      </c>
      <c r="L99" s="16" t="e">
        <f aca="false">SUMIFS(L$10:L$23, $A$10:$A$23,$A99, $C$10:$C$23, "$ Actual")/SUMIFS(L$10:L$23, $A$10:$A$23,$A99, $C$10:$C$23, "$ Budgeted")</f>
        <v>#DIV/0!</v>
      </c>
      <c r="M99" s="16" t="n">
        <f aca="false">SUMIFS(M$10:M$23, $A$10:$A$23,$A99, $C$10:$C$23, "$ Actual")/SUMIFS(M$10:M$23, $A$10:$A$23,$A99, $C$10:$C$23, "$ Budgeted")</f>
        <v>0.493937548713952</v>
      </c>
      <c r="N99" s="16"/>
      <c r="O99" s="16" t="n">
        <f aca="false">SUMIFS(O$10:O$23, $A$10:$A$23,$A99, $C$10:$C$23, "$ Actual")/SUMIFS(O$10:O$23, $A$10:$A$23,$A99, $C$10:$C$23, "$ Budgeted")</f>
        <v>0.979991107553595</v>
      </c>
      <c r="P99" s="16" t="n">
        <f aca="false">SUMIFS(P$10:P$23, $A$10:$A$23,$A99, $C$10:$C$23, "$ Actual")/SUMIFS(P$10:P$23, $A$10:$A$23,$A99, $C$10:$C$23, "$ Budgeted")</f>
        <v>1.16416510938661</v>
      </c>
      <c r="Q99" s="16" t="n">
        <f aca="false">SUMIFS(Q$10:Q$23, $A$10:$A$23,$A99, $C$10:$C$23, "$ Actual")/SUMIFS(Q$10:Q$23, $A$10:$A$23,$A99, $C$10:$C$23, "$ Budgeted")</f>
        <v>1.12710775370319</v>
      </c>
      <c r="R99" s="16" t="n">
        <f aca="false">SUMIFS(R$10:R$23, $A$10:$A$23,$A99, $C$10:$C$23, "$ Actual")/SUMIFS(R$10:R$23, $A$10:$A$23,$A99, $C$10:$C$23, "$ Budgeted")</f>
        <v>0.802175962634051</v>
      </c>
      <c r="S99" s="16" t="n">
        <f aca="false">SUMIFS(S$10:S$23, $A$10:$A$23,$A99, $C$10:$C$23, "$ Actual")/SUMIFS(S$10:S$23, $A$10:$A$23,$A99, $C$10:$C$23, "$ Budgeted")</f>
        <v>0.90434323154402</v>
      </c>
      <c r="T99" s="16" t="n">
        <f aca="false">SUMIFS(T$10:T$23, $A$10:$A$23,$A99, $C$10:$C$23, "$ Actual")/SUMIFS(T$10:T$23, $A$10:$A$23,$A99, $C$10:$C$23, "$ Budgeted")</f>
        <v>0.789149640096729</v>
      </c>
      <c r="U99" s="16" t="n">
        <f aca="false">SUMIFS(U$10:U$23, $A$10:$A$23,$A99, $C$10:$C$23, "$ Actual")/SUMIFS(U$10:U$23, $A$10:$A$23,$A99, $C$10:$C$23, "$ Budgeted")</f>
        <v>0.627571538058166</v>
      </c>
      <c r="V99" s="16" t="n">
        <f aca="false">SUMIFS(V$10:V$23, $A$10:$A$23,$A99, $C$10:$C$23, "$ Actual")/SUMIFS(V$10:V$23, $A$10:$A$23,$A99, $C$10:$C$23, "$ Budgeted")</f>
        <v>0.339060145427192</v>
      </c>
      <c r="W99" s="16" t="n">
        <f aca="false">SUMIFS(W$10:W$23, $A$10:$A$23,$A99, $C$10:$C$23, "$ Actual")/SUMIFS(W$10:W$23, $A$10:$A$23,$A99, $C$10:$C$23, "$ Budgeted")</f>
        <v>0.654556007905606</v>
      </c>
      <c r="X99" s="16" t="n">
        <f aca="false">SUMIFS(X$10:X$23, $A$10:$A$23,$A99, $C$10:$C$23, "$ Actual")/SUMIFS(X$10:X$23, $A$10:$A$23,$A99, $C$10:$C$23, "$ Budgeted")</f>
        <v>0.132827515375154</v>
      </c>
      <c r="Y99" s="16" t="n">
        <f aca="false">SUMIFS(Y$10:Y$23, $A$10:$A$23,$A99, $C$10:$C$23, "$ Actual")/SUMIFS(Y$10:Y$23, $A$10:$A$23,$A99, $C$10:$C$23, "$ Budgeted")</f>
        <v>0.0765000959177409</v>
      </c>
      <c r="Z99" s="16"/>
      <c r="AA99" s="16" t="n">
        <f aca="false">SUMIFS(AA$10:AA$23, $A$10:$A$23,$A99, $C$10:$C$23, "$ Actual")/SUMIFS(AA$10:AA$23, $A$10:$A$23,$A99, $C$10:$C$23, "$ Budgeted")</f>
        <v>1.05488596796098</v>
      </c>
      <c r="AB99" s="16" t="n">
        <f aca="false">SUMIFS(AB$10:AB$23, $A$10:$A$23,$A99, $C$10:$C$23, "$ Actual")/SUMIFS(AB$10:AB$23, $A$10:$A$23,$A99, $C$10:$C$23, "$ Budgeted")</f>
        <v>1.2465944899973</v>
      </c>
      <c r="AC99" s="16"/>
      <c r="AD99" s="16" t="n">
        <f aca="false">SUMIFS(AD$10:AD$23, $A$10:$A$23,$A99, $C$10:$C$23, "$ Actual")/SUMIFS(AD$10:AD$23, $A$10:$A$23,$A99, $C$10:$C$23, "$ Budgeted")</f>
        <v>0</v>
      </c>
      <c r="AE99" s="16" t="n">
        <f aca="false">SUMIFS(AE$10:AE$23, $A$10:$A$23,$A99, $C$10:$C$23, "$ Actual")/SUMIFS(AE$10:AE$23, $A$10:$A$23,$A99, $C$10:$C$23, "$ Budgeted")</f>
        <v>0.815313725490196</v>
      </c>
      <c r="AF99" s="16" t="e">
        <f aca="false">SUMIFS(AF$10:AF$23, $A$10:$A$23,$A99, $C$10:$C$23, "$ Actual")/SUMIFS(AF$10:AF$23, $A$10:$A$23,$A99, $C$10:$C$23, "$ Budgeted")</f>
        <v>#DIV/0!</v>
      </c>
      <c r="AG99" s="16" t="n">
        <f aca="false">SUMIFS(AG$10:AG$23, $A$10:$A$23,$A99, $C$10:$C$23, "$ Actual")/SUMIFS(AG$10:AG$23, $A$10:$A$23,$A99, $C$10:$C$23, "$ Budgeted")</f>
        <v>1.11450794917089</v>
      </c>
      <c r="AH99" s="16" t="n">
        <f aca="false">SUMIFS(AH$10:AH$23, $A$10:$A$23,$A99, $C$10:$C$23, "$ Actual")/SUMIFS(AH$10:AH$23, $A$10:$A$23,$A99, $C$10:$C$23, "$ Budgeted")</f>
        <v>0.801883844339623</v>
      </c>
      <c r="AI99" s="16" t="n">
        <f aca="false">SUMIFS(AI$10:AI$23, $A$10:$A$23,$A99, $C$10:$C$23, "$ Actual")/SUMIFS(AI$10:AI$23, $A$10:$A$23,$A99, $C$10:$C$23, "$ Budgeted")</f>
        <v>0.818701186888875</v>
      </c>
      <c r="AJ99" s="16" t="n">
        <f aca="false">SUMIFS(AJ$10:AJ$23, $A$10:$A$23,$A99, $C$10:$C$23, "$ Actual")/SUMIFS(AJ$10:AJ$23, $A$10:$A$23,$A99, $C$10:$C$23, "$ Budgeted")</f>
        <v>0.406849928670079</v>
      </c>
      <c r="AK99" s="16"/>
      <c r="AL99" s="16" t="n">
        <f aca="false">SUMIFS(AL$10:AL$23, $A$10:$A$23,$A99, $C$10:$C$23, "$ Actual")/SUMIFS(AL$10:AL$23, $A$10:$A$23,$A99, $C$10:$C$23, "$ Budgeted")</f>
        <v>0.711665144747245</v>
      </c>
      <c r="AM99" s="16" t="n">
        <f aca="false">SUMIFS(AM$10:AM$23, $A$10:$A$23,$A99, $C$10:$C$23, "$ Actual")/SUMIFS(AM$10:AM$23, $A$10:$A$23,$A99, $C$10:$C$23, "$ Budgeted")</f>
        <v>0.707223307468849</v>
      </c>
      <c r="AN99" s="16" t="n">
        <f aca="false">SUMIFS(AN$10:AN$23, $A$10:$A$23,$A99, $C$10:$C$23, "$ Actual")/SUMIFS(AN$10:AN$23, $A$10:$A$23,$A99, $C$10:$C$23, "$ Budgeted")</f>
        <v>0.71982383665996</v>
      </c>
      <c r="AO99" s="16" t="n">
        <f aca="false">SUMIFS(AO$10:AO$23, $A$10:$A$23,$A99, $C$10:$C$23, "$ Actual")/SUMIFS(AO$10:AO$23, $A$10:$A$23,$A99, $C$10:$C$23, "$ Budgeted")</f>
        <v>0.866835845540973</v>
      </c>
      <c r="AP99" s="16" t="n">
        <f aca="false">SUMIFS(AP$10:AP$23, $A$10:$A$23,$A99, $C$10:$C$23, "$ Actual")/SUMIFS(AP$10:AP$23, $A$10:$A$23,$A99, $C$10:$C$23, "$ Budgeted")</f>
        <v>1.31956041359326</v>
      </c>
      <c r="AQ99" s="16" t="n">
        <f aca="false">SUMIFS(AQ$10:AQ$23, $A$10:$A$23,$A99, $C$10:$C$23, "$ Actual")/SUMIFS(AQ$10:AQ$23, $A$10:$A$23,$A99, $C$10:$C$23, "$ Budgeted")</f>
        <v>1.30116129596806</v>
      </c>
      <c r="AR99" s="16" t="n">
        <f aca="false">SUMIFS(AR$10:AR$23, $A$10:$A$23,$A99, $C$10:$C$23, "$ Actual")/SUMIFS(AR$10:AR$23, $A$10:$A$23,$A99, $C$10:$C$23, "$ Budgeted")</f>
        <v>1.0586557346454</v>
      </c>
      <c r="AS99" s="16" t="n">
        <f aca="false">SUMIFS(AS$10:AS$23, $A$10:$A$23,$A99, $C$10:$C$23, "$ Actual")/SUMIFS(AS$10:AS$23, $A$10:$A$23,$A99, $C$10:$C$23, "$ Budgeted")</f>
        <v>0.525725629791895</v>
      </c>
      <c r="AT99" s="16" t="e">
        <f aca="false">SUMIFS(AT$10:AT$23, $A$10:$A$23,$A99, $C$10:$C$23, "$ Actual")/SUMIFS(AT$10:AT$23, $A$10:$A$23,$A99, $C$10:$C$23, "$ Budgeted")</f>
        <v>#DIV/0!</v>
      </c>
      <c r="AU99" s="16" t="e">
        <f aca="false">SUMIFS(AU$10:AU$23, $A$10:$A$23,$A99, $C$10:$C$23, "$ Actual")/SUMIFS(AU$10:AU$23, $A$10:$A$23,$A99, $C$10:$C$23, "$ Budgeted")</f>
        <v>#DIV/0!</v>
      </c>
      <c r="AV99" s="16" t="e">
        <f aca="false">SUMIFS(AV$10:AV$23, $A$10:$A$23,$A99, $C$10:$C$23, "$ Actual")/SUMIFS(AV$10:AV$23, $A$10:$A$23,$A99, $C$10:$C$23, "$ Budgeted")</f>
        <v>#DIV/0!</v>
      </c>
      <c r="AW99" s="16" t="n">
        <f aca="false">SUMIFS(AW$10:AW$23, $A$10:$A$23,$A99, $C$10:$C$23, "$ Actual")/SUMIFS(AW$10:AW$23, $A$10:$A$23,$A99, $C$10:$C$23, "$ Budgeted")</f>
        <v>0</v>
      </c>
      <c r="AY99" s="16" t="n">
        <f aca="false">SUMIFS(AY$10:AY$23, $A$10:$A$23,$A99, $C$10:$C$23, "$ Actual")/SUMIFS(AY$10:AY$23, $A$10:$A$23,$A99, $C$10:$C$23, "$ Budgeted")</f>
        <v>0.759485076911649</v>
      </c>
      <c r="AZ99" s="16" t="n">
        <f aca="false">SUMIFS(AZ$10:AZ$23, $A$10:$A$23,$A99, $C$10:$C$23, "$ Actual")/SUMIFS(AZ$10:AZ$23, $A$10:$A$23,$A99, $C$10:$C$23, "$ Budgeted")</f>
        <v>0.84870279704166</v>
      </c>
      <c r="BA99" s="16" t="n">
        <f aca="false">SUMIFS(BA$10:BA$23, $A$10:$A$23,$A99, $C$10:$C$23, "$ Actual")/SUMIFS(BA$10:BA$23, $A$10:$A$23,$A99, $C$10:$C$23, "$ Budgeted")</f>
        <v>0.687121963016495</v>
      </c>
      <c r="BB99" s="16" t="n">
        <f aca="false">SUMIFS(BB$10:BB$23, $A$10:$A$23,$A99, $C$10:$C$23, "$ Actual")/SUMIFS(BB$10:BB$23, $A$10:$A$23,$A99, $C$10:$C$23, "$ Budgeted")</f>
        <v>1.19382235973151</v>
      </c>
      <c r="BC99" s="16" t="n">
        <f aca="false">SUMIFS(BC$10:BC$23, $A$10:$A$23,$A99, $C$10:$C$23, "$ Actual")/SUMIFS(BC$10:BC$23, $A$10:$A$23,$A99, $C$10:$C$23, "$ Budgeted")</f>
        <v>0.553770373146047</v>
      </c>
      <c r="BE99" s="16" t="n">
        <f aca="false">SUMIFS(BE$10:BE$23, $A$10:$A$23,$A99, $C$10:$C$23, "$ Actual")/SUMIFS(BE$10:BE$23, $A$10:$A$23,$A99, $C$10:$C$23, "$ Budgeted")</f>
        <v>0.728871937669422</v>
      </c>
    </row>
    <row r="100" customFormat="false" ht="12.75" hidden="false" customHeight="true" outlineLevel="0" collapsed="false">
      <c r="A100" s="1" t="s">
        <v>57</v>
      </c>
      <c r="B100" s="1" t="n">
        <v>2025</v>
      </c>
      <c r="C100" s="1" t="s">
        <v>80</v>
      </c>
      <c r="D100" s="16" t="e">
        <f aca="false">SUMIFS(D$10:D$23, $A$10:$A$23,$A100, $C$10:$C$23, "$ Actual")/SUMIFS(D$10:D$23, $A$10:$A$23,$A100, $C$10:$C$23, "$ Budgeted")</f>
        <v>#DIV/0!</v>
      </c>
      <c r="E100" s="16" t="e">
        <f aca="false">SUMIFS(E$10:E$23, $A$10:$A$23,$A100, $C$10:$C$23, "$ Actual")/SUMIFS(E$10:E$23, $A$10:$A$23,$A100, $C$10:$C$23, "$ Budgeted")</f>
        <v>#DIV/0!</v>
      </c>
      <c r="F100" s="16" t="e">
        <f aca="false">SUMIFS(F$10:F$23, $A$10:$A$23,$A100, $C$10:$C$23, "$ Actual")/SUMIFS(F$10:F$23, $A$10:$A$23,$A100, $C$10:$C$23, "$ Budgeted")</f>
        <v>#DIV/0!</v>
      </c>
      <c r="G100" s="16" t="e">
        <f aca="false">SUMIFS(G$10:G$23, $A$10:$A$23,$A100, $C$10:$C$23, "$ Actual")/SUMIFS(G$10:G$23, $A$10:$A$23,$A100, $C$10:$C$23, "$ Budgeted")</f>
        <v>#DIV/0!</v>
      </c>
      <c r="H100" s="16" t="e">
        <f aca="false">SUMIFS(H$10:H$23, $A$10:$A$23,$A100, $C$10:$C$23, "$ Actual")/SUMIFS(H$10:H$23, $A$10:$A$23,$A100, $C$10:$C$23, "$ Budgeted")</f>
        <v>#DIV/0!</v>
      </c>
      <c r="I100" s="16" t="e">
        <f aca="false">SUMIFS(I$10:I$23, $A$10:$A$23,$A100, $C$10:$C$23, "$ Actual")/SUMIFS(I$10:I$23, $A$10:$A$23,$A100, $C$10:$C$23, "$ Budgeted")</f>
        <v>#DIV/0!</v>
      </c>
      <c r="J100" s="16" t="e">
        <f aca="false">SUMIFS(J$10:J$23, $A$10:$A$23,$A100, $C$10:$C$23, "$ Actual")/SUMIFS(J$10:J$23, $A$10:$A$23,$A100, $C$10:$C$23, "$ Budgeted")</f>
        <v>#DIV/0!</v>
      </c>
      <c r="K100" s="16" t="e">
        <f aca="false">SUMIFS(K$10:K$23, $A$10:$A$23,$A100, $C$10:$C$23, "$ Actual")/SUMIFS(K$10:K$23, $A$10:$A$23,$A100, $C$10:$C$23, "$ Budgeted")</f>
        <v>#DIV/0!</v>
      </c>
      <c r="L100" s="16" t="e">
        <f aca="false">SUMIFS(L$10:L$23, $A$10:$A$23,$A100, $C$10:$C$23, "$ Actual")/SUMIFS(L$10:L$23, $A$10:$A$23,$A100, $C$10:$C$23, "$ Budgeted")</f>
        <v>#DIV/0!</v>
      </c>
      <c r="M100" s="16" t="e">
        <f aca="false">SUMIFS(M$10:M$23, $A$10:$A$23,$A100, $C$10:$C$23, "$ Actual")/SUMIFS(M$10:M$23, $A$10:$A$23,$A100, $C$10:$C$23, "$ Budgeted")</f>
        <v>#DIV/0!</v>
      </c>
      <c r="N100" s="16"/>
      <c r="O100" s="16" t="e">
        <f aca="false">SUMIFS(O$10:O$23, $A$10:$A$23,$A100, $C$10:$C$23, "$ Actual")/SUMIFS(O$10:O$23, $A$10:$A$23,$A100, $C$10:$C$23, "$ Budgeted")</f>
        <v>#DIV/0!</v>
      </c>
      <c r="P100" s="16" t="e">
        <f aca="false">SUMIFS(P$10:P$23, $A$10:$A$23,$A100, $C$10:$C$23, "$ Actual")/SUMIFS(P$10:P$23, $A$10:$A$23,$A100, $C$10:$C$23, "$ Budgeted")</f>
        <v>#DIV/0!</v>
      </c>
      <c r="Q100" s="16" t="e">
        <f aca="false">SUMIFS(Q$10:Q$23, $A$10:$A$23,$A100, $C$10:$C$23, "$ Actual")/SUMIFS(Q$10:Q$23, $A$10:$A$23,$A100, $C$10:$C$23, "$ Budgeted")</f>
        <v>#DIV/0!</v>
      </c>
      <c r="R100" s="16" t="e">
        <f aca="false">SUMIFS(R$10:R$23, $A$10:$A$23,$A100, $C$10:$C$23, "$ Actual")/SUMIFS(R$10:R$23, $A$10:$A$23,$A100, $C$10:$C$23, "$ Budgeted")</f>
        <v>#DIV/0!</v>
      </c>
      <c r="S100" s="16" t="e">
        <f aca="false">SUMIFS(S$10:S$23, $A$10:$A$23,$A100, $C$10:$C$23, "$ Actual")/SUMIFS(S$10:S$23, $A$10:$A$23,$A100, $C$10:$C$23, "$ Budgeted")</f>
        <v>#DIV/0!</v>
      </c>
      <c r="T100" s="16" t="e">
        <f aca="false">SUMIFS(T$10:T$23, $A$10:$A$23,$A100, $C$10:$C$23, "$ Actual")/SUMIFS(T$10:T$23, $A$10:$A$23,$A100, $C$10:$C$23, "$ Budgeted")</f>
        <v>#DIV/0!</v>
      </c>
      <c r="U100" s="16" t="e">
        <f aca="false">SUMIFS(U$10:U$23, $A$10:$A$23,$A100, $C$10:$C$23, "$ Actual")/SUMIFS(U$10:U$23, $A$10:$A$23,$A100, $C$10:$C$23, "$ Budgeted")</f>
        <v>#DIV/0!</v>
      </c>
      <c r="V100" s="16" t="e">
        <f aca="false">SUMIFS(V$10:V$23, $A$10:$A$23,$A100, $C$10:$C$23, "$ Actual")/SUMIFS(V$10:V$23, $A$10:$A$23,$A100, $C$10:$C$23, "$ Budgeted")</f>
        <v>#DIV/0!</v>
      </c>
      <c r="W100" s="16" t="e">
        <f aca="false">SUMIFS(W$10:W$23, $A$10:$A$23,$A100, $C$10:$C$23, "$ Actual")/SUMIFS(W$10:W$23, $A$10:$A$23,$A100, $C$10:$C$23, "$ Budgeted")</f>
        <v>#DIV/0!</v>
      </c>
      <c r="X100" s="16" t="e">
        <f aca="false">SUMIFS(X$10:X$23, $A$10:$A$23,$A100, $C$10:$C$23, "$ Actual")/SUMIFS(X$10:X$23, $A$10:$A$23,$A100, $C$10:$C$23, "$ Budgeted")</f>
        <v>#DIV/0!</v>
      </c>
      <c r="Y100" s="16" t="e">
        <f aca="false">SUMIFS(Y$10:Y$23, $A$10:$A$23,$A100, $C$10:$C$23, "$ Actual")/SUMIFS(Y$10:Y$23, $A$10:$A$23,$A100, $C$10:$C$23, "$ Budgeted")</f>
        <v>#DIV/0!</v>
      </c>
      <c r="Z100" s="16"/>
      <c r="AA100" s="16" t="e">
        <f aca="false">SUMIFS(AA$10:AA$23, $A$10:$A$23,$A100, $C$10:$C$23, "$ Actual")/SUMIFS(AA$10:AA$23, $A$10:$A$23,$A100, $C$10:$C$23, "$ Budgeted")</f>
        <v>#DIV/0!</v>
      </c>
      <c r="AB100" s="16" t="e">
        <f aca="false">SUMIFS(AB$10:AB$23, $A$10:$A$23,$A100, $C$10:$C$23, "$ Actual")/SUMIFS(AB$10:AB$23, $A$10:$A$23,$A100, $C$10:$C$23, "$ Budgeted")</f>
        <v>#DIV/0!</v>
      </c>
      <c r="AC100" s="16"/>
      <c r="AD100" s="16" t="e">
        <f aca="false">SUMIFS(AD$10:AD$23, $A$10:$A$23,$A100, $C$10:$C$23, "$ Actual")/SUMIFS(AD$10:AD$23, $A$10:$A$23,$A100, $C$10:$C$23, "$ Budgeted")</f>
        <v>#DIV/0!</v>
      </c>
      <c r="AE100" s="16" t="e">
        <f aca="false">SUMIFS(AE$10:AE$23, $A$10:$A$23,$A100, $C$10:$C$23, "$ Actual")/SUMIFS(AE$10:AE$23, $A$10:$A$23,$A100, $C$10:$C$23, "$ Budgeted")</f>
        <v>#DIV/0!</v>
      </c>
      <c r="AF100" s="16" t="e">
        <f aca="false">SUMIFS(AF$10:AF$23, $A$10:$A$23,$A100, $C$10:$C$23, "$ Actual")/SUMIFS(AF$10:AF$23, $A$10:$A$23,$A100, $C$10:$C$23, "$ Budgeted")</f>
        <v>#DIV/0!</v>
      </c>
      <c r="AG100" s="16" t="e">
        <f aca="false">SUMIFS(AG$10:AG$23, $A$10:$A$23,$A100, $C$10:$C$23, "$ Actual")/SUMIFS(AG$10:AG$23, $A$10:$A$23,$A100, $C$10:$C$23, "$ Budgeted")</f>
        <v>#DIV/0!</v>
      </c>
      <c r="AH100" s="16" t="e">
        <f aca="false">SUMIFS(AH$10:AH$23, $A$10:$A$23,$A100, $C$10:$C$23, "$ Actual")/SUMIFS(AH$10:AH$23, $A$10:$A$23,$A100, $C$10:$C$23, "$ Budgeted")</f>
        <v>#DIV/0!</v>
      </c>
      <c r="AI100" s="16" t="e">
        <f aca="false">SUMIFS(AI$10:AI$23, $A$10:$A$23,$A100, $C$10:$C$23, "$ Actual")/SUMIFS(AI$10:AI$23, $A$10:$A$23,$A100, $C$10:$C$23, "$ Budgeted")</f>
        <v>#DIV/0!</v>
      </c>
      <c r="AJ100" s="16" t="e">
        <f aca="false">SUMIFS(AJ$10:AJ$23, $A$10:$A$23,$A100, $C$10:$C$23, "$ Actual")/SUMIFS(AJ$10:AJ$23, $A$10:$A$23,$A100, $C$10:$C$23, "$ Budgeted")</f>
        <v>#DIV/0!</v>
      </c>
      <c r="AK100" s="16"/>
      <c r="AL100" s="16" t="e">
        <f aca="false">SUMIFS(AL$10:AL$23, $A$10:$A$23,$A100, $C$10:$C$23, "$ Actual")/SUMIFS(AL$10:AL$23, $A$10:$A$23,$A100, $C$10:$C$23, "$ Budgeted")</f>
        <v>#DIV/0!</v>
      </c>
      <c r="AM100" s="16" t="e">
        <f aca="false">SUMIFS(AM$10:AM$23, $A$10:$A$23,$A100, $C$10:$C$23, "$ Actual")/SUMIFS(AM$10:AM$23, $A$10:$A$23,$A100, $C$10:$C$23, "$ Budgeted")</f>
        <v>#DIV/0!</v>
      </c>
      <c r="AN100" s="16" t="e">
        <f aca="false">SUMIFS(AN$10:AN$23, $A$10:$A$23,$A100, $C$10:$C$23, "$ Actual")/SUMIFS(AN$10:AN$23, $A$10:$A$23,$A100, $C$10:$C$23, "$ Budgeted")</f>
        <v>#DIV/0!</v>
      </c>
      <c r="AO100" s="16" t="e">
        <f aca="false">SUMIFS(AO$10:AO$23, $A$10:$A$23,$A100, $C$10:$C$23, "$ Actual")/SUMIFS(AO$10:AO$23, $A$10:$A$23,$A100, $C$10:$C$23, "$ Budgeted")</f>
        <v>#DIV/0!</v>
      </c>
      <c r="AP100" s="16" t="e">
        <f aca="false">SUMIFS(AP$10:AP$23, $A$10:$A$23,$A100, $C$10:$C$23, "$ Actual")/SUMIFS(AP$10:AP$23, $A$10:$A$23,$A100, $C$10:$C$23, "$ Budgeted")</f>
        <v>#DIV/0!</v>
      </c>
      <c r="AQ100" s="16" t="e">
        <f aca="false">SUMIFS(AQ$10:AQ$23, $A$10:$A$23,$A100, $C$10:$C$23, "$ Actual")/SUMIFS(AQ$10:AQ$23, $A$10:$A$23,$A100, $C$10:$C$23, "$ Budgeted")</f>
        <v>#DIV/0!</v>
      </c>
      <c r="AR100" s="16" t="e">
        <f aca="false">SUMIFS(AR$10:AR$23, $A$10:$A$23,$A100, $C$10:$C$23, "$ Actual")/SUMIFS(AR$10:AR$23, $A$10:$A$23,$A100, $C$10:$C$23, "$ Budgeted")</f>
        <v>#DIV/0!</v>
      </c>
      <c r="AS100" s="16" t="e">
        <f aca="false">SUMIFS(AS$10:AS$23, $A$10:$A$23,$A100, $C$10:$C$23, "$ Actual")/SUMIFS(AS$10:AS$23, $A$10:$A$23,$A100, $C$10:$C$23, "$ Budgeted")</f>
        <v>#DIV/0!</v>
      </c>
      <c r="AT100" s="16" t="e">
        <f aca="false">SUMIFS(AT$10:AT$23, $A$10:$A$23,$A100, $C$10:$C$23, "$ Actual")/SUMIFS(AT$10:AT$23, $A$10:$A$23,$A100, $C$10:$C$23, "$ Budgeted")</f>
        <v>#DIV/0!</v>
      </c>
      <c r="AU100" s="16" t="e">
        <f aca="false">SUMIFS(AU$10:AU$23, $A$10:$A$23,$A100, $C$10:$C$23, "$ Actual")/SUMIFS(AU$10:AU$23, $A$10:$A$23,$A100, $C$10:$C$23, "$ Budgeted")</f>
        <v>#DIV/0!</v>
      </c>
      <c r="AV100" s="16" t="e">
        <f aca="false">SUMIFS(AV$10:AV$23, $A$10:$A$23,$A100, $C$10:$C$23, "$ Actual")/SUMIFS(AV$10:AV$23, $A$10:$A$23,$A100, $C$10:$C$23, "$ Budgeted")</f>
        <v>#DIV/0!</v>
      </c>
      <c r="AW100" s="16" t="e">
        <f aca="false">SUMIFS(AW$10:AW$23, $A$10:$A$23,$A100, $C$10:$C$23, "$ Actual")/SUMIFS(AW$10:AW$23, $A$10:$A$23,$A100, $C$10:$C$23, "$ Budgeted")</f>
        <v>#DIV/0!</v>
      </c>
      <c r="AY100" s="16" t="e">
        <f aca="false">SUMIFS(AY$10:AY$23, $A$10:$A$23,$A100, $C$10:$C$23, "$ Actual")/SUMIFS(AY$10:AY$23, $A$10:$A$23,$A100, $C$10:$C$23, "$ Budgeted")</f>
        <v>#DIV/0!</v>
      </c>
      <c r="AZ100" s="16" t="e">
        <f aca="false">SUMIFS(AZ$10:AZ$23, $A$10:$A$23,$A100, $C$10:$C$23, "$ Actual")/SUMIFS(AZ$10:AZ$23, $A$10:$A$23,$A100, $C$10:$C$23, "$ Budgeted")</f>
        <v>#DIV/0!</v>
      </c>
      <c r="BA100" s="16" t="e">
        <f aca="false">SUMIFS(BA$10:BA$23, $A$10:$A$23,$A100, $C$10:$C$23, "$ Actual")/SUMIFS(BA$10:BA$23, $A$10:$A$23,$A100, $C$10:$C$23, "$ Budgeted")</f>
        <v>#DIV/0!</v>
      </c>
      <c r="BB100" s="16" t="e">
        <f aca="false">SUMIFS(BB$10:BB$23, $A$10:$A$23,$A100, $C$10:$C$23, "$ Actual")/SUMIFS(BB$10:BB$23, $A$10:$A$23,$A100, $C$10:$C$23, "$ Budgeted")</f>
        <v>#DIV/0!</v>
      </c>
      <c r="BC100" s="16" t="e">
        <f aca="false">SUMIFS(BC$10:BC$23, $A$10:$A$23,$A100, $C$10:$C$23, "$ Actual")/SUMIFS(BC$10:BC$23, $A$10:$A$23,$A100, $C$10:$C$23, "$ Budgeted")</f>
        <v>#DIV/0!</v>
      </c>
      <c r="BE100" s="16" t="e">
        <f aca="false">SUMIFS(BE$10:BE$23, $A$10:$A$23,$A100, $C$10:$C$23, "$ Actual")/SUMIFS(BE$10:BE$23, $A$10:$A$23,$A100, $C$10:$C$23, "$ Budgeted")</f>
        <v>#DIV/0!</v>
      </c>
    </row>
    <row r="101" customFormat="false" ht="12.75" hidden="false" customHeight="true" outlineLevel="0" collapsed="false">
      <c r="A101" s="1" t="s">
        <v>58</v>
      </c>
      <c r="B101" s="1" t="n">
        <v>2025</v>
      </c>
      <c r="C101" s="1" t="s">
        <v>80</v>
      </c>
      <c r="D101" s="16" t="e">
        <f aca="false">SUMIFS(D$10:D$23, $A$10:$A$23,$A101, $C$10:$C$23, "$ Actual")/SUMIFS(D$10:D$23, $A$10:$A$23,$A101, $C$10:$C$23, "$ Budgeted")</f>
        <v>#DIV/0!</v>
      </c>
      <c r="E101" s="16" t="e">
        <f aca="false">SUMIFS(E$10:E$23, $A$10:$A$23,$A101, $C$10:$C$23, "$ Actual")/SUMIFS(E$10:E$23, $A$10:$A$23,$A101, $C$10:$C$23, "$ Budgeted")</f>
        <v>#DIV/0!</v>
      </c>
      <c r="F101" s="16" t="e">
        <f aca="false">SUMIFS(F$10:F$23, $A$10:$A$23,$A101, $C$10:$C$23, "$ Actual")/SUMIFS(F$10:F$23, $A$10:$A$23,$A101, $C$10:$C$23, "$ Budgeted")</f>
        <v>#DIV/0!</v>
      </c>
      <c r="G101" s="16" t="e">
        <f aca="false">SUMIFS(G$10:G$23, $A$10:$A$23,$A101, $C$10:$C$23, "$ Actual")/SUMIFS(G$10:G$23, $A$10:$A$23,$A101, $C$10:$C$23, "$ Budgeted")</f>
        <v>#DIV/0!</v>
      </c>
      <c r="H101" s="16" t="e">
        <f aca="false">SUMIFS(H$10:H$23, $A$10:$A$23,$A101, $C$10:$C$23, "$ Actual")/SUMIFS(H$10:H$23, $A$10:$A$23,$A101, $C$10:$C$23, "$ Budgeted")</f>
        <v>#DIV/0!</v>
      </c>
      <c r="I101" s="16" t="e">
        <f aca="false">SUMIFS(I$10:I$23, $A$10:$A$23,$A101, $C$10:$C$23, "$ Actual")/SUMIFS(I$10:I$23, $A$10:$A$23,$A101, $C$10:$C$23, "$ Budgeted")</f>
        <v>#DIV/0!</v>
      </c>
      <c r="J101" s="16" t="n">
        <f aca="false">SUMIFS(J$10:J$23, $A$10:$A$23,$A101, $C$10:$C$23, "$ Actual")/SUMIFS(J$10:J$23, $A$10:$A$23,$A101, $C$10:$C$23, "$ Budgeted")</f>
        <v>0.612497686141053</v>
      </c>
      <c r="K101" s="16" t="n">
        <f aca="false">SUMIFS(K$10:K$23, $A$10:$A$23,$A101, $C$10:$C$23, "$ Actual")/SUMIFS(K$10:K$23, $A$10:$A$23,$A101, $C$10:$C$23, "$ Budgeted")</f>
        <v>0.738074183593719</v>
      </c>
      <c r="L101" s="16" t="n">
        <f aca="false">SUMIFS(L$10:L$23, $A$10:$A$23,$A101, $C$10:$C$23, "$ Actual")/SUMIFS(L$10:L$23, $A$10:$A$23,$A101, $C$10:$C$23, "$ Budgeted")</f>
        <v>0.891029199668039</v>
      </c>
      <c r="M101" s="16" t="n">
        <f aca="false">SUMIFS(M$10:M$23, $A$10:$A$23,$A101, $C$10:$C$23, "$ Actual")/SUMIFS(M$10:M$23, $A$10:$A$23,$A101, $C$10:$C$23, "$ Budgeted")</f>
        <v>0.445611589625416</v>
      </c>
      <c r="N101" s="16"/>
      <c r="O101" s="16" t="e">
        <f aca="false">SUMIFS(O$10:O$23, $A$10:$A$23,$A101, $C$10:$C$23, "$ Actual")/SUMIFS(O$10:O$23, $A$10:$A$23,$A101, $C$10:$C$23, "$ Budgeted")</f>
        <v>#DIV/0!</v>
      </c>
      <c r="P101" s="16" t="e">
        <f aca="false">SUMIFS(P$10:P$23, $A$10:$A$23,$A101, $C$10:$C$23, "$ Actual")/SUMIFS(P$10:P$23, $A$10:$A$23,$A101, $C$10:$C$23, "$ Budgeted")</f>
        <v>#DIV/0!</v>
      </c>
      <c r="Q101" s="16" t="e">
        <f aca="false">SUMIFS(Q$10:Q$23, $A$10:$A$23,$A101, $C$10:$C$23, "$ Actual")/SUMIFS(Q$10:Q$23, $A$10:$A$23,$A101, $C$10:$C$23, "$ Budgeted")</f>
        <v>#DIV/0!</v>
      </c>
      <c r="R101" s="16" t="e">
        <f aca="false">SUMIFS(R$10:R$23, $A$10:$A$23,$A101, $C$10:$C$23, "$ Actual")/SUMIFS(R$10:R$23, $A$10:$A$23,$A101, $C$10:$C$23, "$ Budgeted")</f>
        <v>#DIV/0!</v>
      </c>
      <c r="S101" s="16" t="e">
        <f aca="false">SUMIFS(S$10:S$23, $A$10:$A$23,$A101, $C$10:$C$23, "$ Actual")/SUMIFS(S$10:S$23, $A$10:$A$23,$A101, $C$10:$C$23, "$ Budgeted")</f>
        <v>#DIV/0!</v>
      </c>
      <c r="T101" s="16" t="e">
        <f aca="false">SUMIFS(T$10:T$23, $A$10:$A$23,$A101, $C$10:$C$23, "$ Actual")/SUMIFS(T$10:T$23, $A$10:$A$23,$A101, $C$10:$C$23, "$ Budgeted")</f>
        <v>#DIV/0!</v>
      </c>
      <c r="U101" s="16" t="e">
        <f aca="false">SUMIFS(U$10:U$23, $A$10:$A$23,$A101, $C$10:$C$23, "$ Actual")/SUMIFS(U$10:U$23, $A$10:$A$23,$A101, $C$10:$C$23, "$ Budgeted")</f>
        <v>#DIV/0!</v>
      </c>
      <c r="V101" s="16" t="e">
        <f aca="false">SUMIFS(V$10:V$23, $A$10:$A$23,$A101, $C$10:$C$23, "$ Actual")/SUMIFS(V$10:V$23, $A$10:$A$23,$A101, $C$10:$C$23, "$ Budgeted")</f>
        <v>#DIV/0!</v>
      </c>
      <c r="W101" s="16" t="n">
        <f aca="false">SUMIFS(W$10:W$23, $A$10:$A$23,$A101, $C$10:$C$23, "$ Actual")/SUMIFS(W$10:W$23, $A$10:$A$23,$A101, $C$10:$C$23, "$ Budgeted")</f>
        <v>0.510581386884453</v>
      </c>
      <c r="X101" s="16" t="n">
        <f aca="false">SUMIFS(X$10:X$23, $A$10:$A$23,$A101, $C$10:$C$23, "$ Actual")/SUMIFS(X$10:X$23, $A$10:$A$23,$A101, $C$10:$C$23, "$ Budgeted")</f>
        <v>0</v>
      </c>
      <c r="Y101" s="16" t="n">
        <f aca="false">SUMIFS(Y$10:Y$23, $A$10:$A$23,$A101, $C$10:$C$23, "$ Actual")/SUMIFS(Y$10:Y$23, $A$10:$A$23,$A101, $C$10:$C$23, "$ Budgeted")</f>
        <v>0</v>
      </c>
      <c r="Z101" s="16"/>
      <c r="AA101" s="16" t="e">
        <f aca="false">SUMIFS(AA$10:AA$23, $A$10:$A$23,$A101, $C$10:$C$23, "$ Actual")/SUMIFS(AA$10:AA$23, $A$10:$A$23,$A101, $C$10:$C$23, "$ Budgeted")</f>
        <v>#DIV/0!</v>
      </c>
      <c r="AB101" s="16" t="e">
        <f aca="false">SUMIFS(AB$10:AB$23, $A$10:$A$23,$A101, $C$10:$C$23, "$ Actual")/SUMIFS(AB$10:AB$23, $A$10:$A$23,$A101, $C$10:$C$23, "$ Budgeted")</f>
        <v>#DIV/0!</v>
      </c>
      <c r="AC101" s="16"/>
      <c r="AD101" s="16" t="e">
        <f aca="false">SUMIFS(AD$10:AD$23, $A$10:$A$23,$A101, $C$10:$C$23, "$ Actual")/SUMIFS(AD$10:AD$23, $A$10:$A$23,$A101, $C$10:$C$23, "$ Budgeted")</f>
        <v>#DIV/0!</v>
      </c>
      <c r="AE101" s="16" t="e">
        <f aca="false">SUMIFS(AE$10:AE$23, $A$10:$A$23,$A101, $C$10:$C$23, "$ Actual")/SUMIFS(AE$10:AE$23, $A$10:$A$23,$A101, $C$10:$C$23, "$ Budgeted")</f>
        <v>#DIV/0!</v>
      </c>
      <c r="AF101" s="16" t="e">
        <f aca="false">SUMIFS(AF$10:AF$23, $A$10:$A$23,$A101, $C$10:$C$23, "$ Actual")/SUMIFS(AF$10:AF$23, $A$10:$A$23,$A101, $C$10:$C$23, "$ Budgeted")</f>
        <v>#DIV/0!</v>
      </c>
      <c r="AG101" s="16" t="e">
        <f aca="false">SUMIFS(AG$10:AG$23, $A$10:$A$23,$A101, $C$10:$C$23, "$ Actual")/SUMIFS(AG$10:AG$23, $A$10:$A$23,$A101, $C$10:$C$23, "$ Budgeted")</f>
        <v>#DIV/0!</v>
      </c>
      <c r="AH101" s="16" t="e">
        <f aca="false">SUMIFS(AH$10:AH$23, $A$10:$A$23,$A101, $C$10:$C$23, "$ Actual")/SUMIFS(AH$10:AH$23, $A$10:$A$23,$A101, $C$10:$C$23, "$ Budgeted")</f>
        <v>#DIV/0!</v>
      </c>
      <c r="AI101" s="16" t="e">
        <f aca="false">SUMIFS(AI$10:AI$23, $A$10:$A$23,$A101, $C$10:$C$23, "$ Actual")/SUMIFS(AI$10:AI$23, $A$10:$A$23,$A101, $C$10:$C$23, "$ Budgeted")</f>
        <v>#DIV/0!</v>
      </c>
      <c r="AJ101" s="16" t="n">
        <f aca="false">SUMIFS(AJ$10:AJ$23, $A$10:$A$23,$A101, $C$10:$C$23, "$ Actual")/SUMIFS(AJ$10:AJ$23, $A$10:$A$23,$A101, $C$10:$C$23, "$ Budgeted")</f>
        <v>3.13271990395694</v>
      </c>
      <c r="AK101" s="16"/>
      <c r="AL101" s="16" t="e">
        <f aca="false">SUMIFS(AL$10:AL$23, $A$10:$A$23,$A101, $C$10:$C$23, "$ Actual")/SUMIFS(AL$10:AL$23, $A$10:$A$23,$A101, $C$10:$C$23, "$ Budgeted")</f>
        <v>#DIV/0!</v>
      </c>
      <c r="AM101" s="16" t="n">
        <f aca="false">SUMIFS(AM$10:AM$23, $A$10:$A$23,$A101, $C$10:$C$23, "$ Actual")/SUMIFS(AM$10:AM$23, $A$10:$A$23,$A101, $C$10:$C$23, "$ Budgeted")</f>
        <v>1.08864663577703</v>
      </c>
      <c r="AN101" s="16" t="e">
        <f aca="false">SUMIFS(AN$10:AN$23, $A$10:$A$23,$A101, $C$10:$C$23, "$ Actual")/SUMIFS(AN$10:AN$23, $A$10:$A$23,$A101, $C$10:$C$23, "$ Budgeted")</f>
        <v>#DIV/0!</v>
      </c>
      <c r="AO101" s="16" t="e">
        <f aca="false">SUMIFS(AO$10:AO$23, $A$10:$A$23,$A101, $C$10:$C$23, "$ Actual")/SUMIFS(AO$10:AO$23, $A$10:$A$23,$A101, $C$10:$C$23, "$ Budgeted")</f>
        <v>#DIV/0!</v>
      </c>
      <c r="AP101" s="16" t="e">
        <f aca="false">SUMIFS(AP$10:AP$23, $A$10:$A$23,$A101, $C$10:$C$23, "$ Actual")/SUMIFS(AP$10:AP$23, $A$10:$A$23,$A101, $C$10:$C$23, "$ Budgeted")</f>
        <v>#DIV/0!</v>
      </c>
      <c r="AQ101" s="16" t="e">
        <f aca="false">SUMIFS(AQ$10:AQ$23, $A$10:$A$23,$A101, $C$10:$C$23, "$ Actual")/SUMIFS(AQ$10:AQ$23, $A$10:$A$23,$A101, $C$10:$C$23, "$ Budgeted")</f>
        <v>#DIV/0!</v>
      </c>
      <c r="AR101" s="16" t="e">
        <f aca="false">SUMIFS(AR$10:AR$23, $A$10:$A$23,$A101, $C$10:$C$23, "$ Actual")/SUMIFS(AR$10:AR$23, $A$10:$A$23,$A101, $C$10:$C$23, "$ Budgeted")</f>
        <v>#DIV/0!</v>
      </c>
      <c r="AS101" s="16" t="n">
        <f aca="false">SUMIFS(AS$10:AS$23, $A$10:$A$23,$A101, $C$10:$C$23, "$ Actual")/SUMIFS(AS$10:AS$23, $A$10:$A$23,$A101, $C$10:$C$23, "$ Budgeted")</f>
        <v>1.40232110771809</v>
      </c>
      <c r="AT101" s="16" t="n">
        <f aca="false">SUMIFS(AT$10:AT$23, $A$10:$A$23,$A101, $C$10:$C$23, "$ Actual")/SUMIFS(AT$10:AT$23, $A$10:$A$23,$A101, $C$10:$C$23, "$ Budgeted")</f>
        <v>0.927038900661505</v>
      </c>
      <c r="AU101" s="16" t="n">
        <f aca="false">SUMIFS(AU$10:AU$23, $A$10:$A$23,$A101, $C$10:$C$23, "$ Actual")/SUMIFS(AU$10:AU$23, $A$10:$A$23,$A101, $C$10:$C$23, "$ Budgeted")</f>
        <v>1.01556912957426</v>
      </c>
      <c r="AV101" s="16" t="n">
        <f aca="false">SUMIFS(AV$10:AV$23, $A$10:$A$23,$A101, $C$10:$C$23, "$ Actual")/SUMIFS(AV$10:AV$23, $A$10:$A$23,$A101, $C$10:$C$23, "$ Budgeted")</f>
        <v>0.857817598762398</v>
      </c>
      <c r="AW101" s="16" t="n">
        <f aca="false">SUMIFS(AW$10:AW$23, $A$10:$A$23,$A101, $C$10:$C$23, "$ Actual")/SUMIFS(AW$10:AW$23, $A$10:$A$23,$A101, $C$10:$C$23, "$ Budgeted")</f>
        <v>0</v>
      </c>
      <c r="AY101" s="16" t="n">
        <f aca="false">SUMIFS(AY$10:AY$23, $A$10:$A$23,$A101, $C$10:$C$23, "$ Actual")/SUMIFS(AY$10:AY$23, $A$10:$A$23,$A101, $C$10:$C$23, "$ Budgeted")</f>
        <v>0.933057180492717</v>
      </c>
      <c r="AZ101" s="16" t="n">
        <f aca="false">SUMIFS(AZ$10:AZ$23, $A$10:$A$23,$A101, $C$10:$C$23, "$ Actual")/SUMIFS(AZ$10:AZ$23, $A$10:$A$23,$A101, $C$10:$C$23, "$ Budgeted")</f>
        <v>0.674133226147822</v>
      </c>
      <c r="BA101" s="16" t="n">
        <f aca="false">SUMIFS(BA$10:BA$23, $A$10:$A$23,$A101, $C$10:$C$23, "$ Actual")/SUMIFS(BA$10:BA$23, $A$10:$A$23,$A101, $C$10:$C$23, "$ Budgeted")</f>
        <v>0.168785731862284</v>
      </c>
      <c r="BB101" s="16" t="e">
        <f aca="false">SUMIFS(BB$10:BB$23, $A$10:$A$23,$A101, $C$10:$C$23, "$ Actual")/SUMIFS(BB$10:BB$23, $A$10:$A$23,$A101, $C$10:$C$23, "$ Budgeted")</f>
        <v>#DIV/0!</v>
      </c>
      <c r="BC101" s="16" t="n">
        <f aca="false">SUMIFS(BC$10:BC$23, $A$10:$A$23,$A101, $C$10:$C$23, "$ Actual")/SUMIFS(BC$10:BC$23, $A$10:$A$23,$A101, $C$10:$C$23, "$ Budgeted")</f>
        <v>3.13271990395694</v>
      </c>
      <c r="BE101" s="16" t="n">
        <f aca="false">SUMIFS(BE$10:BE$23, $A$10:$A$23,$A101, $C$10:$C$23, "$ Actual")/SUMIFS(BE$10:BE$23, $A$10:$A$23,$A101, $C$10:$C$23, "$ Budgeted")</f>
        <v>0.870762238956246</v>
      </c>
    </row>
    <row r="102" customFormat="false" ht="12.75" hidden="false" customHeight="true" outlineLevel="0" collapsed="false">
      <c r="A102" s="1" t="s">
        <v>79</v>
      </c>
      <c r="B102" s="1" t="n">
        <v>2025</v>
      </c>
      <c r="C102" s="1" t="s">
        <v>80</v>
      </c>
      <c r="D102" s="16" t="n">
        <f aca="false">(D17+D19+D21)/(D16+D18+D20)</f>
        <v>0.913465555555556</v>
      </c>
      <c r="E102" s="16" t="n">
        <f aca="false">(E17+E19+E21)/(E16+E18+E20)</f>
        <v>0.647667879757524</v>
      </c>
      <c r="F102" s="16" t="n">
        <f aca="false">(F17+F19+F21)/(F16+F18+F20)</f>
        <v>0.922858719258951</v>
      </c>
      <c r="G102" s="16" t="n">
        <f aca="false">(G17+G19+G21)/(G16+G18+G20)</f>
        <v>1.04928009781651</v>
      </c>
      <c r="H102" s="16" t="n">
        <f aca="false">(H17+H19+H21)/(H16+H18+H20)</f>
        <v>0.952729282868284</v>
      </c>
      <c r="I102" s="16" t="n">
        <f aca="false">(I17+I19+I21)/(I16+I18+I20)</f>
        <v>1.09826752049089</v>
      </c>
      <c r="J102" s="16" t="n">
        <f aca="false">(J17+J19+J21)/(J16+J18+J20)</f>
        <v>0.851983197917385</v>
      </c>
      <c r="K102" s="16" t="n">
        <f aca="false">(K17+K19+K21)/(K16+K18+K20)</f>
        <v>0.738074183593719</v>
      </c>
      <c r="L102" s="16" t="n">
        <f aca="false">(L17+L19+L21)/(L16+L18+L20)</f>
        <v>0.891029199668039</v>
      </c>
      <c r="M102" s="16" t="n">
        <f aca="false">(M17+M19+M21)/(M16+M18+M20)</f>
        <v>0.488724401591988</v>
      </c>
      <c r="N102" s="16"/>
      <c r="O102" s="16" t="n">
        <f aca="false">(O17+O19+O21)/(O16+O18+O20)</f>
        <v>0.979991107553595</v>
      </c>
      <c r="P102" s="16" t="n">
        <f aca="false">(P17+P19+P21)/(P16+P18+P20)</f>
        <v>1.16416510938661</v>
      </c>
      <c r="Q102" s="16" t="n">
        <f aca="false">(Q17+Q19+Q21)/(Q16+Q18+Q20)</f>
        <v>1.12710775370319</v>
      </c>
      <c r="R102" s="16" t="n">
        <f aca="false">(R17+R19+R21)/(R16+R18+R20)</f>
        <v>0.802175962634051</v>
      </c>
      <c r="S102" s="16" t="n">
        <f aca="false">(S17+S19+S21)/(S16+S18+S20)</f>
        <v>0.90434323154402</v>
      </c>
      <c r="T102" s="16" t="n">
        <f aca="false">(T17+T19+T21)/(T16+T18+T20)</f>
        <v>0.789149640096729</v>
      </c>
      <c r="U102" s="16" t="n">
        <f aca="false">(U17+U19+U21)/(U16+U18+U20)</f>
        <v>0.627571538058166</v>
      </c>
      <c r="V102" s="16" t="n">
        <f aca="false">(V17+V19+V21)/(V16+V18+V20)</f>
        <v>0.339060145427192</v>
      </c>
      <c r="W102" s="16" t="n">
        <f aca="false">(W17+W19+W21)/(W16+W18+W20)</f>
        <v>0.647647917692189</v>
      </c>
      <c r="X102" s="16" t="n">
        <f aca="false">(X17+X19+X21)/(X16+X18+X20)</f>
        <v>0.126137569660293</v>
      </c>
      <c r="Y102" s="16" t="n">
        <f aca="false">(Y17+Y19+Y21)/(Y16+Y18+Y20)</f>
        <v>0.0706556354635639</v>
      </c>
      <c r="Z102" s="16"/>
      <c r="AA102" s="16" t="n">
        <f aca="false">(AA17+AA19+AA21)/(AA16+AA18+AA20)</f>
        <v>1.05488596796098</v>
      </c>
      <c r="AB102" s="16" t="n">
        <f aca="false">(AB17+AB19+AB21)/(AB16+AB18+AB20)</f>
        <v>1.2465944899973</v>
      </c>
      <c r="AC102" s="16"/>
      <c r="AD102" s="16" t="n">
        <f aca="false">(AD17+AD19+AD21)/(AD16+AD18+AD20)</f>
        <v>0</v>
      </c>
      <c r="AE102" s="16" t="n">
        <f aca="false">(AE17+AE19+AE21)/(AE16+AE18+AE20)</f>
        <v>0.815313725490196</v>
      </c>
      <c r="AF102" s="16" t="e">
        <f aca="false">(AF17+AF19+AF21)/(AF16+AF18+AF20)</f>
        <v>#DIV/0!</v>
      </c>
      <c r="AG102" s="16" t="n">
        <f aca="false">(AG17+AG19+AG21)/(AG16+AG18+AG20)</f>
        <v>1.11450794917089</v>
      </c>
      <c r="AH102" s="16" t="n">
        <f aca="false">(AH17+AH19+AH21)/(AH16+AH18+AH20)</f>
        <v>0.801883844339623</v>
      </c>
      <c r="AI102" s="16" t="n">
        <f aca="false">(AI17+AI19+AI21)/(AI16+AI18+AI20)</f>
        <v>0.818701186888875</v>
      </c>
      <c r="AJ102" s="16" t="n">
        <f aca="false">(AJ17+AJ19+AJ21)/(AJ16+AJ18+AJ20)</f>
        <v>0.598636892022427</v>
      </c>
      <c r="AK102" s="16"/>
      <c r="AL102" s="16" t="n">
        <f aca="false">(AL17+AL19+AL21)/(AL16+AL18+AL20)</f>
        <v>0.711665144747245</v>
      </c>
      <c r="AM102" s="16" t="n">
        <f aca="false">(AM17+AM19+AM21)/(AM16+AM18+AM20)</f>
        <v>0.727701509871798</v>
      </c>
      <c r="AN102" s="16" t="n">
        <f aca="false">(AN17+AN19+AN21)/(AN16+AN18+AN20)</f>
        <v>0.71982383665996</v>
      </c>
      <c r="AO102" s="16" t="n">
        <f aca="false">(AO17+AO19+AO21)/(AO16+AO18+AO20)</f>
        <v>0.866835845540973</v>
      </c>
      <c r="AP102" s="16" t="n">
        <f aca="false">(AP17+AP19+AP21)/(AP16+AP18+AP20)</f>
        <v>1.31956041359326</v>
      </c>
      <c r="AQ102" s="16" t="n">
        <f aca="false">(AQ17+AQ19+AQ21)/(AQ16+AQ18+AQ20)</f>
        <v>1.30116129596806</v>
      </c>
      <c r="AR102" s="16" t="n">
        <f aca="false">(AR17+AR19+AR21)/(AR16+AR18+AR20)</f>
        <v>1.0586557346454</v>
      </c>
      <c r="AS102" s="16" t="n">
        <f aca="false">(AS17+AS19+AS21)/(AS16+AS18+AS20)</f>
        <v>0.653044226464025</v>
      </c>
      <c r="AT102" s="16" t="n">
        <f aca="false">(AT17+AT19+AT21)/(AT16+AT18+AT20)</f>
        <v>0.927038900661505</v>
      </c>
      <c r="AU102" s="16" t="n">
        <f aca="false">(AU17+AU19+AU21)/(AU16+AU18+AU20)</f>
        <v>1.01556912957426</v>
      </c>
      <c r="AV102" s="16" t="n">
        <f aca="false">(AV17+AV19+AV21)/(AV16+AV18+AV20)</f>
        <v>0.857817598762398</v>
      </c>
      <c r="AW102" s="16" t="n">
        <f aca="false">(AW17+AW19+AW21)/(AW16+AW18+AW20)</f>
        <v>0</v>
      </c>
      <c r="AY102" s="16" t="n">
        <f aca="false">(AY17+AY19+AY21)/(AY16+AY18+AY20)</f>
        <v>0.770375125268475</v>
      </c>
      <c r="AZ102" s="16" t="n">
        <f aca="false">(AZ17+AZ19+AZ21)/(AZ16+AZ18+AZ20)</f>
        <v>0.836735282148379</v>
      </c>
      <c r="BA102" s="16" t="n">
        <f aca="false">(BA17+BA19+BA21)/(BA16+BA18+BA20)</f>
        <v>0.677009619769906</v>
      </c>
      <c r="BB102" s="16" t="n">
        <f aca="false">(BB17+BB19+BB21)/(BB16+BB18+BB20)</f>
        <v>1.19382235973151</v>
      </c>
      <c r="BC102" s="16" t="n">
        <f aca="false">(BC17+BC19+BC21)/(BC16+BC18+BC20)</f>
        <v>0.620568253307076</v>
      </c>
      <c r="BE102" s="16" t="n">
        <f aca="false">(BE17+BE19+BE21)/(BE16+BE18+BE20)</f>
        <v>0.734492901675636</v>
      </c>
    </row>
    <row r="103" customFormat="false" ht="12.75" hidden="false" customHeight="true" outlineLevel="0" collapsed="false">
      <c r="A103" s="1" t="s">
        <v>59</v>
      </c>
      <c r="B103" s="1" t="n">
        <v>2025</v>
      </c>
      <c r="C103" s="1" t="s">
        <v>80</v>
      </c>
      <c r="D103" s="16" t="n">
        <f aca="false">SUMIFS(D$10:D$23, $A$10:$A$23,$A103, $C$10:$C$23, "$ Actual")/SUMIFS(D$10:D$23, $A$10:$A$23,$A103, $C$10:$C$23, "$ Budgeted")</f>
        <v>0</v>
      </c>
      <c r="E103" s="16" t="n">
        <f aca="false">SUMIFS(E$10:E$23, $A$10:$A$23,$A103, $C$10:$C$23, "$ Actual")/SUMIFS(E$10:E$23, $A$10:$A$23,$A103, $C$10:$C$23, "$ Budgeted")</f>
        <v>4.17744221171118</v>
      </c>
      <c r="F103" s="16" t="n">
        <f aca="false">SUMIFS(F$10:F$23, $A$10:$A$23,$A103, $C$10:$C$23, "$ Actual")/SUMIFS(F$10:F$23, $A$10:$A$23,$A103, $C$10:$C$23, "$ Budgeted")</f>
        <v>2.02707104000948</v>
      </c>
      <c r="G103" s="16" t="n">
        <f aca="false">SUMIFS(G$10:G$23, $A$10:$A$23,$A103, $C$10:$C$23, "$ Actual")/SUMIFS(G$10:G$23, $A$10:$A$23,$A103, $C$10:$C$23, "$ Budgeted")</f>
        <v>1.60122859397723</v>
      </c>
      <c r="H103" s="16" t="n">
        <f aca="false">SUMIFS(H$10:H$23, $A$10:$A$23,$A103, $C$10:$C$23, "$ Actual")/SUMIFS(H$10:H$23, $A$10:$A$23,$A103, $C$10:$C$23, "$ Budgeted")</f>
        <v>1.32417359383355</v>
      </c>
      <c r="I103" s="16" t="n">
        <f aca="false">SUMIFS(I$10:I$23, $A$10:$A$23,$A103, $C$10:$C$23, "$ Actual")/SUMIFS(I$10:I$23, $A$10:$A$23,$A103, $C$10:$C$23, "$ Budgeted")</f>
        <v>1.88836855745526</v>
      </c>
      <c r="J103" s="16" t="n">
        <f aca="false">SUMIFS(J$10:J$23, $A$10:$A$23,$A103, $C$10:$C$23, "$ Actual")/SUMIFS(J$10:J$23, $A$10:$A$23,$A103, $C$10:$C$23, "$ Budgeted")</f>
        <v>1.7239593760266</v>
      </c>
      <c r="K103" s="16" t="n">
        <f aca="false">SUMIFS(K$10:K$23, $A$10:$A$23,$A103, $C$10:$C$23, "$ Actual")/SUMIFS(K$10:K$23, $A$10:$A$23,$A103, $C$10:$C$23, "$ Budgeted")</f>
        <v>2.60820800924659</v>
      </c>
      <c r="L103" s="16" t="n">
        <f aca="false">SUMIFS(L$10:L$23, $A$10:$A$23,$A103, $C$10:$C$23, "$ Actual")/SUMIFS(L$10:L$23, $A$10:$A$23,$A103, $C$10:$C$23, "$ Budgeted")</f>
        <v>2.79096226895014</v>
      </c>
      <c r="M103" s="16" t="n">
        <f aca="false">SUMIFS(M$10:M$23, $A$10:$A$23,$A103, $C$10:$C$23, "$ Actual")/SUMIFS(M$10:M$23, $A$10:$A$23,$A103, $C$10:$C$23, "$ Budgeted")</f>
        <v>2.20885509912057</v>
      </c>
      <c r="N103" s="16"/>
      <c r="O103" s="16" t="n">
        <f aca="false">SUMIFS(O$10:O$23, $A$10:$A$23,$A103, $C$10:$C$23, "$ Actual")/SUMIFS(O$10:O$23, $A$10:$A$23,$A103, $C$10:$C$23, "$ Budgeted")</f>
        <v>1.04491199369439</v>
      </c>
      <c r="P103" s="16" t="n">
        <f aca="false">SUMIFS(P$10:P$23, $A$10:$A$23,$A103, $C$10:$C$23, "$ Actual")/SUMIFS(P$10:P$23, $A$10:$A$23,$A103, $C$10:$C$23, "$ Budgeted")</f>
        <v>1.53088650451456</v>
      </c>
      <c r="Q103" s="16" t="n">
        <f aca="false">SUMIFS(Q$10:Q$23, $A$10:$A$23,$A103, $C$10:$C$23, "$ Actual")/SUMIFS(Q$10:Q$23, $A$10:$A$23,$A103, $C$10:$C$23, "$ Budgeted")</f>
        <v>1.59865826652986</v>
      </c>
      <c r="R103" s="16" t="n">
        <f aca="false">SUMIFS(R$10:R$23, $A$10:$A$23,$A103, $C$10:$C$23, "$ Actual")/SUMIFS(R$10:R$23, $A$10:$A$23,$A103, $C$10:$C$23, "$ Budgeted")</f>
        <v>2.28443836308179</v>
      </c>
      <c r="S103" s="16" t="n">
        <f aca="false">SUMIFS(S$10:S$23, $A$10:$A$23,$A103, $C$10:$C$23, "$ Actual")/SUMIFS(S$10:S$23, $A$10:$A$23,$A103, $C$10:$C$23, "$ Budgeted")</f>
        <v>1.94883654767806</v>
      </c>
      <c r="T103" s="16" t="n">
        <f aca="false">SUMIFS(T$10:T$23, $A$10:$A$23,$A103, $C$10:$C$23, "$ Actual")/SUMIFS(T$10:T$23, $A$10:$A$23,$A103, $C$10:$C$23, "$ Budgeted")</f>
        <v>2.10317178579326</v>
      </c>
      <c r="U103" s="16" t="n">
        <f aca="false">SUMIFS(U$10:U$23, $A$10:$A$23,$A103, $C$10:$C$23, "$ Actual")/SUMIFS(U$10:U$23, $A$10:$A$23,$A103, $C$10:$C$23, "$ Budgeted")</f>
        <v>1.62111268456749</v>
      </c>
      <c r="V103" s="16" t="n">
        <f aca="false">SUMIFS(V$10:V$23, $A$10:$A$23,$A103, $C$10:$C$23, "$ Actual")/SUMIFS(V$10:V$23, $A$10:$A$23,$A103, $C$10:$C$23, "$ Budgeted")</f>
        <v>1.2190600175433</v>
      </c>
      <c r="W103" s="16" t="n">
        <f aca="false">SUMIFS(W$10:W$23, $A$10:$A$23,$A103, $C$10:$C$23, "$ Actual")/SUMIFS(W$10:W$23, $A$10:$A$23,$A103, $C$10:$C$23, "$ Budgeted")</f>
        <v>1.26428443120448</v>
      </c>
      <c r="X103" s="16" t="n">
        <f aca="false">SUMIFS(X$10:X$23, $A$10:$A$23,$A103, $C$10:$C$23, "$ Actual")/SUMIFS(X$10:X$23, $A$10:$A$23,$A103, $C$10:$C$23, "$ Budgeted")</f>
        <v>0.449532367305809</v>
      </c>
      <c r="Y103" s="16" t="n">
        <f aca="false">SUMIFS(Y$10:Y$23, $A$10:$A$23,$A103, $C$10:$C$23, "$ Actual")/SUMIFS(Y$10:Y$23, $A$10:$A$23,$A103, $C$10:$C$23, "$ Budgeted")</f>
        <v>0.453298832494211</v>
      </c>
      <c r="Z103" s="16"/>
      <c r="AA103" s="16" t="n">
        <f aca="false">SUMIFS(AA$10:AA$23, $A$10:$A$23,$A103, $C$10:$C$23, "$ Actual")/SUMIFS(AA$10:AA$23, $A$10:$A$23,$A103, $C$10:$C$23, "$ Budgeted")</f>
        <v>0.828434415114629</v>
      </c>
      <c r="AB103" s="16" t="n">
        <f aca="false">SUMIFS(AB$10:AB$23, $A$10:$A$23,$A103, $C$10:$C$23, "$ Actual")/SUMIFS(AB$10:AB$23, $A$10:$A$23,$A103, $C$10:$C$23, "$ Budgeted")</f>
        <v>1.25457047697342</v>
      </c>
      <c r="AC103" s="16"/>
      <c r="AD103" s="16" t="n">
        <f aca="false">SUMIFS(AD$10:AD$23, $A$10:$A$23,$A103, $C$10:$C$23, "$ Actual")/SUMIFS(AD$10:AD$23, $A$10:$A$23,$A103, $C$10:$C$23, "$ Budgeted")</f>
        <v>3.26329461354743</v>
      </c>
      <c r="AE103" s="16" t="n">
        <f aca="false">SUMIFS(AE$10:AE$23, $A$10:$A$23,$A103, $C$10:$C$23, "$ Actual")/SUMIFS(AE$10:AE$23, $A$10:$A$23,$A103, $C$10:$C$23, "$ Budgeted")</f>
        <v>1.85762386834946</v>
      </c>
      <c r="AF103" s="16" t="e">
        <f aca="false">SUMIFS(AF$10:AF$23, $A$10:$A$23,$A103, $C$10:$C$23, "$ Actual")/SUMIFS(AF$10:AF$23, $A$10:$A$23,$A103, $C$10:$C$23, "$ Budgeted")</f>
        <v>#DIV/0!</v>
      </c>
      <c r="AG103" s="16" t="n">
        <f aca="false">SUMIFS(AG$10:AG$23, $A$10:$A$23,$A103, $C$10:$C$23, "$ Actual")/SUMIFS(AG$10:AG$23, $A$10:$A$23,$A103, $C$10:$C$23, "$ Budgeted")</f>
        <v>1.54351046457949</v>
      </c>
      <c r="AH103" s="16" t="n">
        <f aca="false">SUMIFS(AH$10:AH$23, $A$10:$A$23,$A103, $C$10:$C$23, "$ Actual")/SUMIFS(AH$10:AH$23, $A$10:$A$23,$A103, $C$10:$C$23, "$ Budgeted")</f>
        <v>1.24286400204992</v>
      </c>
      <c r="AI103" s="16" t="n">
        <f aca="false">SUMIFS(AI$10:AI$23, $A$10:$A$23,$A103, $C$10:$C$23, "$ Actual")/SUMIFS(AI$10:AI$23, $A$10:$A$23,$A103, $C$10:$C$23, "$ Budgeted")</f>
        <v>1.50426008290218</v>
      </c>
      <c r="AJ103" s="16" t="n">
        <f aca="false">SUMIFS(AJ$10:AJ$23, $A$10:$A$23,$A103, $C$10:$C$23, "$ Actual")/SUMIFS(AJ$10:AJ$23, $A$10:$A$23,$A103, $C$10:$C$23, "$ Budgeted")</f>
        <v>0.979619920678447</v>
      </c>
      <c r="AK103" s="16"/>
      <c r="AL103" s="16" t="n">
        <f aca="false">SUMIFS(AL$10:AL$23, $A$10:$A$23,$A103, $C$10:$C$23, "$ Actual")/SUMIFS(AL$10:AL$23, $A$10:$A$23,$A103, $C$10:$C$23, "$ Budgeted")</f>
        <v>5.17797615028815</v>
      </c>
      <c r="AM103" s="16" t="n">
        <f aca="false">SUMIFS(AM$10:AM$23, $A$10:$A$23,$A103, $C$10:$C$23, "$ Actual")/SUMIFS(AM$10:AM$23, $A$10:$A$23,$A103, $C$10:$C$23, "$ Budgeted")</f>
        <v>1.83245423114216</v>
      </c>
      <c r="AN103" s="16" t="n">
        <f aca="false">SUMIFS(AN$10:AN$23, $A$10:$A$23,$A103, $C$10:$C$23, "$ Actual")/SUMIFS(AN$10:AN$23, $A$10:$A$23,$A103, $C$10:$C$23, "$ Budgeted")</f>
        <v>1.9473106132027</v>
      </c>
      <c r="AO103" s="16" t="n">
        <f aca="false">SUMIFS(AO$10:AO$23, $A$10:$A$23,$A103, $C$10:$C$23, "$ Actual")/SUMIFS(AO$10:AO$23, $A$10:$A$23,$A103, $C$10:$C$23, "$ Budgeted")</f>
        <v>1.69073270525105</v>
      </c>
      <c r="AP103" s="16" t="n">
        <f aca="false">SUMIFS(AP$10:AP$23, $A$10:$A$23,$A103, $C$10:$C$23, "$ Actual")/SUMIFS(AP$10:AP$23, $A$10:$A$23,$A103, $C$10:$C$23, "$ Budgeted")</f>
        <v>1.85501227146635</v>
      </c>
      <c r="AQ103" s="16" t="n">
        <f aca="false">SUMIFS(AQ$10:AQ$23, $A$10:$A$23,$A103, $C$10:$C$23, "$ Actual")/SUMIFS(AQ$10:AQ$23, $A$10:$A$23,$A103, $C$10:$C$23, "$ Budgeted")</f>
        <v>1.95571192542952</v>
      </c>
      <c r="AR103" s="16" t="n">
        <f aca="false">SUMIFS(AR$10:AR$23, $A$10:$A$23,$A103, $C$10:$C$23, "$ Actual")/SUMIFS(AR$10:AR$23, $A$10:$A$23,$A103, $C$10:$C$23, "$ Budgeted")</f>
        <v>1.20731509592273</v>
      </c>
      <c r="AS103" s="16" t="n">
        <f aca="false">SUMIFS(AS$10:AS$23, $A$10:$A$23,$A103, $C$10:$C$23, "$ Actual")/SUMIFS(AS$10:AS$23, $A$10:$A$23,$A103, $C$10:$C$23, "$ Budgeted")</f>
        <v>11.0463237124403</v>
      </c>
      <c r="AT103" s="16" t="n">
        <f aca="false">SUMIFS(AT$10:AT$23, $A$10:$A$23,$A103, $C$10:$C$23, "$ Actual")/SUMIFS(AT$10:AT$23, $A$10:$A$23,$A103, $C$10:$C$23, "$ Budgeted")</f>
        <v>1.4179210431625</v>
      </c>
      <c r="AU103" s="16" t="n">
        <f aca="false">SUMIFS(AU$10:AU$23, $A$10:$A$23,$A103, $C$10:$C$23, "$ Actual")/SUMIFS(AU$10:AU$23, $A$10:$A$23,$A103, $C$10:$C$23, "$ Budgeted")</f>
        <v>3.57888165361412</v>
      </c>
      <c r="AV103" s="16" t="n">
        <f aca="false">SUMIFS(AV$10:AV$23, $A$10:$A$23,$A103, $C$10:$C$23, "$ Actual")/SUMIFS(AV$10:AV$23, $A$10:$A$23,$A103, $C$10:$C$23, "$ Budgeted")</f>
        <v>0.840229811500407</v>
      </c>
      <c r="AW103" s="16" t="n">
        <f aca="false">SUMIFS(AW$10:AW$23, $A$10:$A$23,$A103, $C$10:$C$23, "$ Actual")/SUMIFS(AW$10:AW$23, $A$10:$A$23,$A103, $C$10:$C$23, "$ Budgeted")</f>
        <v>0.219612813783574</v>
      </c>
      <c r="AY103" s="16" t="n">
        <f aca="false">SUMIFS(AY$10:AY$23, $A$10:$A$23,$A103, $C$10:$C$23, "$ Actual")/SUMIFS(AY$10:AY$23, $A$10:$A$23,$A103, $C$10:$C$23, "$ Budgeted")</f>
        <v>1.72815718386493</v>
      </c>
      <c r="AZ103" s="16" t="n">
        <f aca="false">SUMIFS(AZ$10:AZ$23, $A$10:$A$23,$A103, $C$10:$C$23, "$ Actual")/SUMIFS(AZ$10:AZ$23, $A$10:$A$23,$A103, $C$10:$C$23, "$ Budgeted")</f>
        <v>1.75636630400478</v>
      </c>
      <c r="BA103" s="16" t="n">
        <f aca="false">SUMIFS(BA$10:BA$23, $A$10:$A$23,$A103, $C$10:$C$23, "$ Actual")/SUMIFS(BA$10:BA$23, $A$10:$A$23,$A103, $C$10:$C$23, "$ Budgeted")</f>
        <v>1.25414720721294</v>
      </c>
      <c r="BB103" s="16" t="n">
        <f aca="false">SUMIFS(BB$10:BB$23, $A$10:$A$23,$A103, $C$10:$C$23, "$ Actual")/SUMIFS(BB$10:BB$23, $A$10:$A$23,$A103, $C$10:$C$23, "$ Budgeted")</f>
        <v>1.08683993765903</v>
      </c>
      <c r="BC103" s="16" t="n">
        <f aca="false">SUMIFS(BC$10:BC$23, $A$10:$A$23,$A103, $C$10:$C$23, "$ Actual")/SUMIFS(BC$10:BC$23, $A$10:$A$23,$A103, $C$10:$C$23, "$ Budgeted")</f>
        <v>1.59618890602158</v>
      </c>
      <c r="BE103" s="16" t="n">
        <f aca="false">SUMIFS(BE$10:BE$23, $A$10:$A$23,$A103, $C$10:$C$23, "$ Actual")/SUMIFS(BE$10:BE$23, $A$10:$A$23,$A103, $C$10:$C$23, "$ Budgeted")</f>
        <v>1.55182641070881</v>
      </c>
    </row>
    <row r="104" customFormat="false" ht="12.75" hidden="false" customHeight="true" outlineLevel="0" collapsed="false">
      <c r="A104" s="1" t="s">
        <v>51</v>
      </c>
      <c r="B104" s="1" t="n">
        <v>2025</v>
      </c>
      <c r="C104" s="1" t="s">
        <v>81</v>
      </c>
      <c r="D104" s="16" t="n">
        <f aca="false">D35/D34</f>
        <v>0.321100917431193</v>
      </c>
      <c r="E104" s="16" t="n">
        <f aca="false">E35/E34</f>
        <v>1</v>
      </c>
      <c r="F104" s="16" t="n">
        <f aca="false">F35/F34</f>
        <v>0.605769230769231</v>
      </c>
      <c r="G104" s="16" t="n">
        <f aca="false">G35/G34</f>
        <v>0.561224489795918</v>
      </c>
      <c r="H104" s="16" t="n">
        <f aca="false">H35/H34</f>
        <v>0.552</v>
      </c>
      <c r="I104" s="16" t="n">
        <f aca="false">I35/I34</f>
        <v>0.669291338582677</v>
      </c>
      <c r="J104" s="16" t="n">
        <f aca="false">J35/J34</f>
        <v>0.61711079943899</v>
      </c>
      <c r="K104" s="16" t="n">
        <f aca="false">K35/K34</f>
        <v>1</v>
      </c>
      <c r="L104" s="16" t="n">
        <f aca="false">L35/L34</f>
        <v>0.648854961832061</v>
      </c>
      <c r="M104" s="16" t="n">
        <f aca="false">M35/M34</f>
        <v>0.87719298245614</v>
      </c>
      <c r="N104" s="16"/>
      <c r="O104" s="16" t="n">
        <f aca="false">O35/O34</f>
        <v>0.902548725637181</v>
      </c>
      <c r="P104" s="16" t="n">
        <f aca="false">P35/P34</f>
        <v>0.691304347826087</v>
      </c>
      <c r="Q104" s="16" t="n">
        <f aca="false">Q35/Q34</f>
        <v>1</v>
      </c>
      <c r="R104" s="16" t="e">
        <f aca="false">R35/R34</f>
        <v>#DIV/0!</v>
      </c>
      <c r="S104" s="16" t="n">
        <f aca="false">S35/S34</f>
        <v>0.915492957746479</v>
      </c>
      <c r="T104" s="16" t="n">
        <f aca="false">T35/T34</f>
        <v>0.552</v>
      </c>
      <c r="U104" s="16" t="n">
        <f aca="false">U35/U34</f>
        <v>0.369047619047619</v>
      </c>
      <c r="V104" s="16" t="n">
        <f aca="false">V35/V34</f>
        <v>0.899497487437186</v>
      </c>
      <c r="W104" s="16" t="n">
        <f aca="false">W35/W34</f>
        <v>0.468123861566484</v>
      </c>
      <c r="X104" s="16" t="n">
        <f aca="false">X35/X34</f>
        <v>0.0641509433962264</v>
      </c>
      <c r="Y104" s="16" t="n">
        <f aca="false">Y35/Y34</f>
        <v>0.122222222222222</v>
      </c>
      <c r="Z104" s="16"/>
      <c r="AA104" s="16" t="n">
        <f aca="false">AA35/AA34</f>
        <v>1.2</v>
      </c>
      <c r="AB104" s="16" t="n">
        <f aca="false">AB35/AB34</f>
        <v>0</v>
      </c>
      <c r="AC104" s="16"/>
      <c r="AD104" s="16" t="n">
        <f aca="false">AD35/AD34</f>
        <v>2.32783018867925</v>
      </c>
      <c r="AE104" s="16" t="n">
        <f aca="false">AE35/AE34</f>
        <v>1.38256658595642</v>
      </c>
      <c r="AF104" s="16" t="n">
        <f aca="false">AF35/AF34</f>
        <v>1</v>
      </c>
      <c r="AG104" s="16" t="n">
        <f aca="false">AG35/AG34</f>
        <v>1.15291750503018</v>
      </c>
      <c r="AH104" s="16" t="n">
        <f aca="false">AH35/AH34</f>
        <v>0.893406593406594</v>
      </c>
      <c r="AI104" s="16" t="n">
        <f aca="false">AI35/AI34</f>
        <v>0.974248927038627</v>
      </c>
      <c r="AJ104" s="16" t="n">
        <f aca="false">AJ35/AJ34</f>
        <v>1.1301652892562</v>
      </c>
      <c r="AK104" s="16"/>
      <c r="AL104" s="16" t="n">
        <f aca="false">AL35/AL34</f>
        <v>0.833333333333333</v>
      </c>
      <c r="AM104" s="16" t="n">
        <f aca="false">AM35/AM34</f>
        <v>1</v>
      </c>
      <c r="AN104" s="16" t="n">
        <f aca="false">AN35/AN34</f>
        <v>0.833333333333333</v>
      </c>
      <c r="AO104" s="16" t="n">
        <f aca="false">AO35/AO34</f>
        <v>0.933333333333333</v>
      </c>
      <c r="AP104" s="16" t="n">
        <f aca="false">AP35/AP34</f>
        <v>0.606060606060606</v>
      </c>
      <c r="AQ104" s="16" t="n">
        <f aca="false">AQ35/AQ34</f>
        <v>0.631578947368421</v>
      </c>
      <c r="AR104" s="16" t="n">
        <f aca="false">AR35/AR34</f>
        <v>0.928571428571429</v>
      </c>
      <c r="AS104" s="16" t="n">
        <f aca="false">AS35/AS34</f>
        <v>1.5</v>
      </c>
      <c r="AT104" s="16" t="n">
        <f aca="false">AT35/AT34</f>
        <v>1</v>
      </c>
      <c r="AU104" s="16" t="n">
        <f aca="false">AU35/AU34</f>
        <v>1</v>
      </c>
      <c r="AV104" s="16" t="n">
        <f aca="false">AV35/AV34</f>
        <v>0.13</v>
      </c>
      <c r="AW104" s="16" t="n">
        <f aca="false">AW35/AW34</f>
        <v>0</v>
      </c>
      <c r="AY104" s="16" t="n">
        <f aca="false">AY35/AY34</f>
        <v>0.687715904380268</v>
      </c>
      <c r="AZ104" s="16" t="n">
        <f aca="false">AZ35/AZ34</f>
        <v>0.601386036960986</v>
      </c>
      <c r="BA104" s="16" t="n">
        <f aca="false">BA35/BA34</f>
        <v>0.61782982791587</v>
      </c>
      <c r="BB104" s="16" t="n">
        <f aca="false">BB35/BB34</f>
        <v>0.193236714975845</v>
      </c>
      <c r="BC104" s="16" t="n">
        <f aca="false">BC35/BC34</f>
        <v>1.21298922291549</v>
      </c>
      <c r="BE104" s="16" t="n">
        <f aca="false">BE35/BE34</f>
        <v>0.734792437320181</v>
      </c>
    </row>
    <row r="105" customFormat="false" ht="12.75" hidden="false" customHeight="true" outlineLevel="0" collapsed="false">
      <c r="A105" s="1" t="s">
        <v>54</v>
      </c>
      <c r="B105" s="1" t="n">
        <v>2025</v>
      </c>
      <c r="C105" s="1" t="s">
        <v>81</v>
      </c>
      <c r="D105" s="16" t="n">
        <f aca="false">D37/D36</f>
        <v>1.82488479262673</v>
      </c>
      <c r="E105" s="16" t="e">
        <f aca="false">E37/E36</f>
        <v>#DIV/0!</v>
      </c>
      <c r="F105" s="16" t="e">
        <f aca="false">F37/F36</f>
        <v>#DIV/0!</v>
      </c>
      <c r="G105" s="16" t="n">
        <f aca="false">G37/G36</f>
        <v>1</v>
      </c>
      <c r="H105" s="16" t="n">
        <f aca="false">H37/H36</f>
        <v>0.984198645598194</v>
      </c>
      <c r="I105" s="16" t="n">
        <f aca="false">I37/I36</f>
        <v>1.00358422939068</v>
      </c>
      <c r="J105" s="16" t="n">
        <f aca="false">J37/J36</f>
        <v>0.951008645533141</v>
      </c>
      <c r="K105" s="16" t="e">
        <f aca="false">K37/K36</f>
        <v>#DIV/0!</v>
      </c>
      <c r="L105" s="16" t="n">
        <f aca="false">L37/L36</f>
        <v>0.15625</v>
      </c>
      <c r="M105" s="16" t="n">
        <f aca="false">M37/M36</f>
        <v>0.421940928270042</v>
      </c>
      <c r="N105" s="16"/>
      <c r="O105" s="16" t="n">
        <f aca="false">O37/O36</f>
        <v>0.13</v>
      </c>
      <c r="P105" s="16" t="n">
        <f aca="false">P37/P36</f>
        <v>0.475113122171946</v>
      </c>
      <c r="Q105" s="16" t="n">
        <f aca="false">Q37/Q36</f>
        <v>0.780669144981413</v>
      </c>
      <c r="R105" s="16" t="n">
        <f aca="false">R37/R36</f>
        <v>0.642857142857143</v>
      </c>
      <c r="S105" s="16" t="n">
        <f aca="false">S37/S36</f>
        <v>0.923333333333333</v>
      </c>
      <c r="T105" s="16" t="n">
        <f aca="false">T37/T36</f>
        <v>0.846153846153846</v>
      </c>
      <c r="U105" s="16" t="n">
        <f aca="false">U37/U36</f>
        <v>0.722222222222222</v>
      </c>
      <c r="V105" s="16" t="n">
        <f aca="false">V37/V36</f>
        <v>0</v>
      </c>
      <c r="W105" s="16" t="n">
        <f aca="false">W37/W36</f>
        <v>0.745916515426497</v>
      </c>
      <c r="X105" s="16" t="n">
        <f aca="false">X37/X36</f>
        <v>0.262264150943396</v>
      </c>
      <c r="Y105" s="16" t="n">
        <f aca="false">Y37/Y36</f>
        <v>0.788888888888889</v>
      </c>
      <c r="Z105" s="16"/>
      <c r="AA105" s="16" t="n">
        <f aca="false">AA37/AA36</f>
        <v>0.671140939597316</v>
      </c>
      <c r="AB105" s="16" t="n">
        <f aca="false">AB37/AB36</f>
        <v>0</v>
      </c>
      <c r="AC105" s="16"/>
      <c r="AD105" s="16" t="n">
        <f aca="false">AD37/AD36</f>
        <v>1.26426426426426</v>
      </c>
      <c r="AE105" s="16" t="n">
        <f aca="false">AE37/AE36</f>
        <v>2.77380952380952</v>
      </c>
      <c r="AF105" s="16" t="n">
        <f aca="false">AF37/AF36</f>
        <v>1</v>
      </c>
      <c r="AG105" s="16" t="n">
        <f aca="false">AG37/AG36</f>
        <v>0.957605985037407</v>
      </c>
      <c r="AH105" s="16" t="n">
        <f aca="false">AH37/AH36</f>
        <v>0.948076923076923</v>
      </c>
      <c r="AI105" s="16" t="n">
        <f aca="false">AI37/AI36</f>
        <v>1.14463840399003</v>
      </c>
      <c r="AJ105" s="16" t="n">
        <f aca="false">AJ37/AJ36</f>
        <v>0.512068965517242</v>
      </c>
      <c r="AK105" s="16"/>
      <c r="AL105" s="16" t="n">
        <f aca="false">AL37/AL36</f>
        <v>0.497512437810945</v>
      </c>
      <c r="AM105" s="16" t="n">
        <f aca="false">AM37/AM36</f>
        <v>0.01</v>
      </c>
      <c r="AN105" s="16" t="e">
        <f aca="false">AN37/AN36</f>
        <v>#DIV/0!</v>
      </c>
      <c r="AO105" s="16" t="n">
        <f aca="false">AO37/AO36</f>
        <v>0</v>
      </c>
      <c r="AP105" s="16" t="n">
        <f aca="false">AP37/AP36</f>
        <v>0.07</v>
      </c>
      <c r="AQ105" s="16" t="n">
        <f aca="false">AQ37/AQ36</f>
        <v>0.7</v>
      </c>
      <c r="AR105" s="16" t="n">
        <f aca="false">AR37/AR36</f>
        <v>1</v>
      </c>
      <c r="AS105" s="16" t="e">
        <f aca="false">AS37/AS36</f>
        <v>#DIV/0!</v>
      </c>
      <c r="AT105" s="16" t="e">
        <f aca="false">AT37/AT36</f>
        <v>#DIV/0!</v>
      </c>
      <c r="AU105" s="16" t="e">
        <f aca="false">AU37/AU36</f>
        <v>#DIV/0!</v>
      </c>
      <c r="AV105" s="16" t="n">
        <f aca="false">AV37/AV36</f>
        <v>0</v>
      </c>
      <c r="AW105" s="16" t="n">
        <f aca="false">AW37/AW36</f>
        <v>0</v>
      </c>
      <c r="AY105" s="16" t="n">
        <f aca="false">AY37/AY36</f>
        <v>0.319232661091982</v>
      </c>
      <c r="AZ105" s="16" t="n">
        <f aca="false">AZ37/AZ36</f>
        <v>0.927921368765927</v>
      </c>
      <c r="BA105" s="16" t="n">
        <f aca="false">BA37/BA36</f>
        <v>0.569971671388102</v>
      </c>
      <c r="BB105" s="16" t="n">
        <f aca="false">BB37/BB36</f>
        <v>0.371747211895911</v>
      </c>
      <c r="BC105" s="16" t="n">
        <f aca="false">BC37/BC36</f>
        <v>1.04390243902439</v>
      </c>
      <c r="BE105" s="16" t="n">
        <f aca="false">BE37/BE36</f>
        <v>0.719672714336535</v>
      </c>
    </row>
    <row r="106" customFormat="false" ht="12.75" hidden="false" customHeight="true" outlineLevel="0" collapsed="false">
      <c r="A106" s="1" t="s">
        <v>55</v>
      </c>
      <c r="B106" s="1" t="n">
        <v>2025</v>
      </c>
      <c r="C106" s="1" t="s">
        <v>81</v>
      </c>
      <c r="D106" s="16" t="n">
        <f aca="false">D39/D38</f>
        <v>1</v>
      </c>
      <c r="E106" s="16" t="n">
        <f aca="false">E39/E38</f>
        <v>1</v>
      </c>
      <c r="F106" s="16" t="n">
        <f aca="false">F39/F38</f>
        <v>1</v>
      </c>
      <c r="G106" s="16" t="n">
        <f aca="false">G39/G38</f>
        <v>1.08557046979866</v>
      </c>
      <c r="H106" s="16" t="n">
        <f aca="false">H39/H38</f>
        <v>1.08221476510067</v>
      </c>
      <c r="I106" s="16" t="n">
        <f aca="false">I39/I38</f>
        <v>1.01201716738197</v>
      </c>
      <c r="J106" s="16" t="n">
        <f aca="false">J39/J38</f>
        <v>0.967438494934877</v>
      </c>
      <c r="K106" s="16" t="n">
        <f aca="false">K39/K38</f>
        <v>1</v>
      </c>
      <c r="L106" s="16" t="n">
        <f aca="false">L39/L38</f>
        <v>1.02534113060429</v>
      </c>
      <c r="M106" s="16" t="n">
        <f aca="false">M39/M38</f>
        <v>0.889948006932409</v>
      </c>
      <c r="N106" s="16"/>
      <c r="O106" s="16" t="n">
        <f aca="false">O39/O38</f>
        <v>0.990344827586207</v>
      </c>
      <c r="P106" s="16" t="n">
        <f aca="false">P39/P38</f>
        <v>0.726078799249531</v>
      </c>
      <c r="Q106" s="16" t="n">
        <f aca="false">Q39/Q38</f>
        <v>0.964556962025317</v>
      </c>
      <c r="R106" s="16" t="n">
        <f aca="false">R39/R38</f>
        <v>0.972049689440994</v>
      </c>
      <c r="S106" s="16" t="n">
        <f aca="false">S39/S38</f>
        <v>1.27804107424961</v>
      </c>
      <c r="T106" s="16" t="n">
        <f aca="false">T39/T38</f>
        <v>0.990990990990991</v>
      </c>
      <c r="U106" s="16" t="n">
        <f aca="false">U39/U38</f>
        <v>0.991701244813278</v>
      </c>
      <c r="V106" s="16" t="n">
        <f aca="false">V39/V38</f>
        <v>0.733487833140209</v>
      </c>
      <c r="W106" s="16" t="n">
        <f aca="false">W39/W38</f>
        <v>1.0282012195122</v>
      </c>
      <c r="X106" s="16" t="n">
        <f aca="false">X39/X38</f>
        <v>0.919317300232739</v>
      </c>
      <c r="Y106" s="16" t="n">
        <f aca="false">Y39/Y38</f>
        <v>0.940491591203105</v>
      </c>
      <c r="Z106" s="16"/>
      <c r="AA106" s="16" t="n">
        <f aca="false">AA39/AA38</f>
        <v>0.681208053691275</v>
      </c>
      <c r="AB106" s="16" t="n">
        <f aca="false">AB39/AB38</f>
        <v>1.05774647887324</v>
      </c>
      <c r="AC106" s="16"/>
      <c r="AD106" s="16" t="n">
        <f aca="false">AD39/AD38</f>
        <v>1.23823823823824</v>
      </c>
      <c r="AE106" s="16" t="n">
        <f aca="false">AE39/AE38</f>
        <v>1.2703081232493</v>
      </c>
      <c r="AF106" s="16" t="n">
        <f aca="false">AF39/AF38</f>
        <v>1</v>
      </c>
      <c r="AG106" s="16" t="n">
        <f aca="false">AG39/AG38</f>
        <v>0.809090909090909</v>
      </c>
      <c r="AH106" s="16" t="n">
        <f aca="false">AH39/AH38</f>
        <v>0.998165137614679</v>
      </c>
      <c r="AI106" s="16" t="n">
        <f aca="false">AI39/AI38</f>
        <v>0.802404207362885</v>
      </c>
      <c r="AJ106" s="16" t="n">
        <f aca="false">AJ39/AJ38</f>
        <v>0.83304347826087</v>
      </c>
      <c r="AK106" s="16"/>
      <c r="AL106" s="16" t="n">
        <f aca="false">AL39/AL38</f>
        <v>1.01063829787234</v>
      </c>
      <c r="AM106" s="16" t="n">
        <f aca="false">AM39/AM38</f>
        <v>0.388652482269504</v>
      </c>
      <c r="AN106" s="16" t="n">
        <f aca="false">AN39/AN38</f>
        <v>0.904255319148936</v>
      </c>
      <c r="AO106" s="16" t="n">
        <f aca="false">AO39/AO38</f>
        <v>0.99935107073329</v>
      </c>
      <c r="AP106" s="16" t="n">
        <f aca="false">AP39/AP38</f>
        <v>0.766666666666667</v>
      </c>
      <c r="AQ106" s="16" t="n">
        <f aca="false">AQ39/AQ38</f>
        <v>0.885416666666667</v>
      </c>
      <c r="AR106" s="16" t="n">
        <f aca="false">AR39/AR38</f>
        <v>1.01073345259392</v>
      </c>
      <c r="AS106" s="16" t="n">
        <f aca="false">AS39/AS38</f>
        <v>0.997987927565393</v>
      </c>
      <c r="AT106" s="16" t="n">
        <f aca="false">AT39/AT38</f>
        <v>0.554913294797688</v>
      </c>
      <c r="AU106" s="16" t="n">
        <f aca="false">AU39/AU38</f>
        <v>1.79347826086957</v>
      </c>
      <c r="AV106" s="16" t="n">
        <f aca="false">AV39/AV38</f>
        <v>0.189982728842832</v>
      </c>
      <c r="AW106" s="16" t="n">
        <f aca="false">AW39/AW38</f>
        <v>0</v>
      </c>
      <c r="AY106" s="16" t="n">
        <f aca="false">AY39/AY38</f>
        <v>0.69784239281415</v>
      </c>
      <c r="AZ106" s="16" t="n">
        <f aca="false">AZ39/AZ38</f>
        <v>0.994717689869703</v>
      </c>
      <c r="BA106" s="16" t="n">
        <f aca="false">BA39/BA38</f>
        <v>0.944103324158374</v>
      </c>
      <c r="BB106" s="16" t="n">
        <f aca="false">BB39/BB38</f>
        <v>0.946428571428571</v>
      </c>
      <c r="BC106" s="16" t="n">
        <f aca="false">BC39/BC38</f>
        <v>0.955965241897605</v>
      </c>
      <c r="BE106" s="16" t="n">
        <f aca="false">BE39/BE38</f>
        <v>0.888607396573339</v>
      </c>
    </row>
    <row r="107" customFormat="false" ht="12.75" hidden="false" customHeight="true" outlineLevel="0" collapsed="false"/>
    <row r="108" customFormat="false" ht="12.75" hidden="false" customHeight="true" outlineLevel="0" collapsed="false">
      <c r="A108" s="1" t="s">
        <v>51</v>
      </c>
      <c r="B108" s="1" t="n">
        <v>2025</v>
      </c>
      <c r="C108" s="17" t="s">
        <v>82</v>
      </c>
      <c r="D108" s="16" t="n">
        <f aca="false">SUMIFS(D$10:D$23, $A$10:$A$23,$A108, $C$10:$C$23, "$ Actual")/D$89</f>
        <v>0.312216649799709</v>
      </c>
      <c r="E108" s="16" t="n">
        <f aca="false">SUMIFS(E$10:E$23, $A$10:$A$23,$A108, $C$10:$C$23, "$ Actual")/E$89</f>
        <v>0.161954891481631</v>
      </c>
      <c r="F108" s="16" t="n">
        <f aca="false">SUMIFS(F$10:F$23, $A$10:$A$23,$A108, $C$10:$C$23, "$ Actual")/F$89</f>
        <v>0.296265916773006</v>
      </c>
      <c r="G108" s="16" t="n">
        <f aca="false">SUMIFS(G$10:G$23, $A$10:$A$23,$A108, $C$10:$C$23, "$ Actual")/G$89</f>
        <v>0.178547397598435</v>
      </c>
      <c r="H108" s="16" t="n">
        <f aca="false">SUMIFS(H$10:H$23, $A$10:$A$23,$A108, $C$10:$C$23, "$ Actual")/H$89</f>
        <v>0.188229618461547</v>
      </c>
      <c r="I108" s="16" t="n">
        <f aca="false">SUMIFS(I$10:I$23, $A$10:$A$23,$A108, $C$10:$C$23, "$ Actual")/I$89</f>
        <v>0.285630534911105</v>
      </c>
      <c r="J108" s="16" t="n">
        <f aca="false">SUMIFS(J$10:J$23, $A$10:$A$23,$A108, $C$10:$C$23, "$ Actual")/J$89</f>
        <v>0.242660084095687</v>
      </c>
      <c r="K108" s="16" t="n">
        <f aca="false">SUMIFS(K$10:K$23, $A$10:$A$23,$A108, $C$10:$C$23, "$ Actual")/K$89</f>
        <v>0.180767592289046</v>
      </c>
      <c r="L108" s="16" t="n">
        <f aca="false">SUMIFS(L$10:L$23, $A$10:$A$23,$A108, $C$10:$C$23, "$ Actual")/L$89</f>
        <v>0.0843994139361949</v>
      </c>
      <c r="M108" s="16" t="n">
        <f aca="false">SUMIFS(M$10:M$23, $A$10:$A$23,$A108, $C$10:$C$23, "$ Actual")/M$89</f>
        <v>0.018780761166978</v>
      </c>
      <c r="N108" s="16"/>
      <c r="O108" s="16" t="n">
        <f aca="false">SUMIFS(O$10:O$23, $A$10:$A$23,$A108, $C$10:$C$23, "$ Actual")/O$89</f>
        <v>0.379089417652291</v>
      </c>
      <c r="P108" s="16" t="n">
        <f aca="false">SUMIFS(P$10:P$23, $A$10:$A$23,$A108, $C$10:$C$23, "$ Actual")/P$89</f>
        <v>0.124088290074387</v>
      </c>
      <c r="Q108" s="16" t="n">
        <f aca="false">SUMIFS(Q$10:Q$23, $A$10:$A$23,$A108, $C$10:$C$23, "$ Actual")/Q$89</f>
        <v>0.351921081160867</v>
      </c>
      <c r="R108" s="16" t="n">
        <f aca="false">SUMIFS(R$10:R$23, $A$10:$A$23,$A108, $C$10:$C$23, "$ Actual")/R$89</f>
        <v>0</v>
      </c>
      <c r="S108" s="16" t="n">
        <f aca="false">SUMIFS(S$10:S$23, $A$10:$A$23,$A108, $C$10:$C$23, "$ Actual")/S$89</f>
        <v>0.143914039545741</v>
      </c>
      <c r="T108" s="16" t="n">
        <f aca="false">SUMIFS(T$10:T$23, $A$10:$A$23,$A108, $C$10:$C$23, "$ Actual")/T$89</f>
        <v>0.198605201351412</v>
      </c>
      <c r="U108" s="16" t="n">
        <f aca="false">SUMIFS(U$10:U$23, $A$10:$A$23,$A108, $C$10:$C$23, "$ Actual")/U$89</f>
        <v>0.101322109033073</v>
      </c>
      <c r="V108" s="16" t="n">
        <f aca="false">SUMIFS(V$10:V$23, $A$10:$A$23,$A108, $C$10:$C$23, "$ Actual")/V$89</f>
        <v>0.358052133672991</v>
      </c>
      <c r="W108" s="16" t="n">
        <f aca="false">SUMIFS(W$10:W$23, $A$10:$A$23,$A108, $C$10:$C$23, "$ Actual")/W$89</f>
        <v>0.14599320783658</v>
      </c>
      <c r="X108" s="16" t="n">
        <f aca="false">SUMIFS(X$10:X$23, $A$10:$A$23,$A108, $C$10:$C$23, "$ Actual")/X$89</f>
        <v>0.0369908484526007</v>
      </c>
      <c r="Y108" s="16" t="n">
        <f aca="false">SUMIFS(Y$10:Y$23, $A$10:$A$23,$A108, $C$10:$C$23, "$ Actual")/Y$89</f>
        <v>0.0164427334993058</v>
      </c>
      <c r="Z108" s="16"/>
      <c r="AA108" s="16" t="n">
        <f aca="false">SUMIFS(AA$10:AA$23, $A$10:$A$23,$A108, $C$10:$C$23, "$ Actual")/AA$89</f>
        <v>0.294295146964304</v>
      </c>
      <c r="AB108" s="16" t="n">
        <f aca="false">SUMIFS(AB$10:AB$23, $A$10:$A$23,$A108, $C$10:$C$23, "$ Actual")/AB$89</f>
        <v>0.152927014156201</v>
      </c>
      <c r="AC108" s="16"/>
      <c r="AD108" s="16" t="n">
        <f aca="false">SUMIFS(AD$10:AD$23, $A$10:$A$23,$A108, $C$10:$C$23, "$ Actual")/AD$89</f>
        <v>0.248009568050061</v>
      </c>
      <c r="AE108" s="16" t="n">
        <f aca="false">SUMIFS(AE$10:AE$23, $A$10:$A$23,$A108, $C$10:$C$23, "$ Actual")/AE$89</f>
        <v>0.235637564631547</v>
      </c>
      <c r="AF108" s="16" t="e">
        <f aca="false">SUMIFS(AF$10:AF$23, $A$10:$A$23,$A108, $C$10:$C$23, "$ Actual")/AF$89</f>
        <v>#DIV/0!</v>
      </c>
      <c r="AG108" s="16" t="n">
        <f aca="false">SUMIFS(AG$10:AG$23, $A$10:$A$23,$A108, $C$10:$C$23, "$ Actual")/AG$89</f>
        <v>0.254817074769868</v>
      </c>
      <c r="AH108" s="16" t="n">
        <f aca="false">SUMIFS(AH$10:AH$23, $A$10:$A$23,$A108, $C$10:$C$23, "$ Actual")/AH$89</f>
        <v>0.270265212160552</v>
      </c>
      <c r="AI108" s="16" t="n">
        <f aca="false">SUMIFS(AI$10:AI$23, $A$10:$A$23,$A108, $C$10:$C$23, "$ Actual")/AI$89</f>
        <v>0.226417123413907</v>
      </c>
      <c r="AJ108" s="16" t="n">
        <f aca="false">SUMIFS(AJ$10:AJ$23, $A$10:$A$23,$A108, $C$10:$C$23, "$ Actual")/AJ$89</f>
        <v>0.216300739901059</v>
      </c>
      <c r="AK108" s="16"/>
      <c r="AL108" s="16" t="n">
        <f aca="false">SUMIFS(AL$10:AL$23, $A$10:$A$23,$A108, $C$10:$C$23, "$ Actual")/AL$89</f>
        <v>0.284761394532504</v>
      </c>
      <c r="AM108" s="16" t="n">
        <f aca="false">SUMIFS(AM$10:AM$23, $A$10:$A$23,$A108, $C$10:$C$23, "$ Actual")/AM$89</f>
        <v>0.0352386108532847</v>
      </c>
      <c r="AN108" s="16" t="n">
        <f aca="false">SUMIFS(AN$10:AN$23, $A$10:$A$23,$A108, $C$10:$C$23, "$ Actual")/AN$89</f>
        <v>0.394590966522606</v>
      </c>
      <c r="AO108" s="16" t="n">
        <f aca="false">SUMIFS(AO$10:AO$23, $A$10:$A$23,$A108, $C$10:$C$23, "$ Actual")/AO$89</f>
        <v>0.473451737115733</v>
      </c>
      <c r="AP108" s="16" t="n">
        <f aca="false">SUMIFS(AP$10:AP$23, $A$10:$A$23,$A108, $C$10:$C$23, "$ Actual")/AP$89</f>
        <v>0.264822864596327</v>
      </c>
      <c r="AQ108" s="16" t="n">
        <f aca="false">SUMIFS(AQ$10:AQ$23, $A$10:$A$23,$A108, $C$10:$C$23, "$ Actual")/AQ$89</f>
        <v>0.198071694496984</v>
      </c>
      <c r="AR108" s="16" t="n">
        <f aca="false">SUMIFS(AR$10:AR$23, $A$10:$A$23,$A108, $C$10:$C$23, "$ Actual")/AR$89</f>
        <v>0.346234571633639</v>
      </c>
      <c r="AS108" s="16" t="n">
        <f aca="false">SUMIFS(AS$10:AS$23, $A$10:$A$23,$A108, $C$10:$C$23, "$ Actual")/AS$89</f>
        <v>0</v>
      </c>
      <c r="AT108" s="16" t="n">
        <f aca="false">SUMIFS(AT$10:AT$23, $A$10:$A$23,$A108, $C$10:$C$23, "$ Actual")/AT$89</f>
        <v>0.330582525640579</v>
      </c>
      <c r="AU108" s="16" t="n">
        <f aca="false">SUMIFS(AU$10:AU$23, $A$10:$A$23,$A108, $C$10:$C$23, "$ Actual")/AU$89</f>
        <v>0.0841775058141578</v>
      </c>
      <c r="AV108" s="16" t="n">
        <f aca="false">SUMIFS(AV$10:AV$23, $A$10:$A$23,$A108, $C$10:$C$23, "$ Actual")/AV$89</f>
        <v>0.0752477420503379</v>
      </c>
      <c r="AW108" s="16" t="n">
        <f aca="false">SUMIFS(AW$10:AW$23, $A$10:$A$23,$A108, $C$10:$C$23, "$ Actual")/AW$89</f>
        <v>0</v>
      </c>
      <c r="AX108" s="16"/>
      <c r="AY108" s="16" t="n">
        <f aca="false">SUMIFS(AY$10:AY$23, $A$10:$A$23,$A108, $C$10:$C$23, "$ Actual")/AY$89</f>
        <v>0.300192489824501</v>
      </c>
      <c r="AZ108" s="16" t="n">
        <f aca="false">SUMIFS(AZ$10:AZ$23, $A$10:$A$23,$A108, $C$10:$C$23, "$ Actual")/AZ$89</f>
        <v>0.211128041879443</v>
      </c>
      <c r="BA108" s="16" t="n">
        <f aca="false">SUMIFS(BA$10:BA$23, $A$10:$A$23,$A108, $C$10:$C$23, "$ Actual")/BA$89</f>
        <v>0.211906774212902</v>
      </c>
      <c r="BB108" s="16" t="n">
        <f aca="false">SUMIFS(BB$10:BB$23, $A$10:$A$23,$A108, $C$10:$C$23, "$ Actual")/BB$89</f>
        <v>0.205500360459584</v>
      </c>
      <c r="BC108" s="16" t="n">
        <f aca="false">SUMIFS(BC$10:BC$23, $A$10:$A$23,$A108, $C$10:$C$23, "$ Actual")/BC$89</f>
        <v>0.243666483304779</v>
      </c>
      <c r="BD108" s="16"/>
      <c r="BE108" s="16" t="n">
        <f aca="false">SUMIFS(BE$10:BE$23, $A$10:$A$23,$A108, $C$10:$C$23, "$ Actual")/BE$89</f>
        <v>0.241803549523657</v>
      </c>
    </row>
    <row r="109" customFormat="false" ht="12.75" hidden="false" customHeight="true" outlineLevel="0" collapsed="false">
      <c r="A109" s="1" t="s">
        <v>54</v>
      </c>
      <c r="B109" s="1" t="n">
        <v>2025</v>
      </c>
      <c r="C109" s="17" t="s">
        <v>82</v>
      </c>
      <c r="D109" s="16" t="n">
        <f aca="false">SUMIFS(D$10:D$23, $A$10:$A$23,$A109, $C$10:$C$23, "$ Actual")/D$89</f>
        <v>0.17476036637818</v>
      </c>
      <c r="E109" s="16" t="n">
        <f aca="false">SUMIFS(E$10:E$23, $A$10:$A$23,$A109, $C$10:$C$23, "$ Actual")/E$89</f>
        <v>0</v>
      </c>
      <c r="F109" s="16" t="n">
        <f aca="false">SUMIFS(F$10:F$23, $A$10:$A$23,$A109, $C$10:$C$23, "$ Actual")/F$89</f>
        <v>0</v>
      </c>
      <c r="G109" s="16" t="n">
        <f aca="false">SUMIFS(G$10:G$23, $A$10:$A$23,$A109, $C$10:$C$23, "$ Actual")/G$89</f>
        <v>0.193912953351189</v>
      </c>
      <c r="H109" s="16" t="n">
        <f aca="false">SUMIFS(H$10:H$23, $A$10:$A$23,$A109, $C$10:$C$23, "$ Actual")/H$89</f>
        <v>0.194163246395354</v>
      </c>
      <c r="I109" s="16" t="n">
        <f aca="false">SUMIFS(I$10:I$23, $A$10:$A$23,$A109, $C$10:$C$23, "$ Actual")/I$89</f>
        <v>0.129314893160573</v>
      </c>
      <c r="J109" s="16" t="n">
        <f aca="false">SUMIFS(J$10:J$23, $A$10:$A$23,$A109, $C$10:$C$23, "$ Actual")/J$89</f>
        <v>0.0951246611245684</v>
      </c>
      <c r="K109" s="16" t="n">
        <f aca="false">SUMIFS(K$10:K$23, $A$10:$A$23,$A109, $C$10:$C$23, "$ Actual")/K$89</f>
        <v>0</v>
      </c>
      <c r="L109" s="16" t="n">
        <f aca="false">SUMIFS(L$10:L$23, $A$10:$A$23,$A109, $C$10:$C$23, "$ Actual")/L$89</f>
        <v>0.0636522618237376</v>
      </c>
      <c r="M109" s="16" t="n">
        <f aca="false">SUMIFS(M$10:M$23, $A$10:$A$23,$A109, $C$10:$C$23, "$ Actual")/M$89</f>
        <v>0.0620151186515086</v>
      </c>
      <c r="N109" s="16"/>
      <c r="O109" s="16" t="n">
        <f aca="false">SUMIFS(O$10:O$23, $A$10:$A$23,$A109, $C$10:$C$23, "$ Actual")/O$89</f>
        <v>0.00933168090429358</v>
      </c>
      <c r="P109" s="16" t="n">
        <f aca="false">SUMIFS(P$10:P$23, $A$10:$A$23,$A109, $C$10:$C$23, "$ Actual")/P$89</f>
        <v>0.0874693027978925</v>
      </c>
      <c r="Q109" s="16" t="n">
        <f aca="false">SUMIFS(Q$10:Q$23, $A$10:$A$23,$A109, $C$10:$C$23, "$ Actual")/Q$89</f>
        <v>0.0564866430874394</v>
      </c>
      <c r="R109" s="16" t="n">
        <f aca="false">SUMIFS(R$10:R$23, $A$10:$A$23,$A109, $C$10:$C$23, "$ Actual")/R$89</f>
        <v>0.0393433371324492</v>
      </c>
      <c r="S109" s="16" t="n">
        <f aca="false">SUMIFS(S$10:S$23, $A$10:$A$23,$A109, $C$10:$C$23, "$ Actual")/S$89</f>
        <v>0.109019577525317</v>
      </c>
      <c r="T109" s="16" t="n">
        <f aca="false">SUMIFS(T$10:T$23, $A$10:$A$23,$A109, $C$10:$C$23, "$ Actual")/T$89</f>
        <v>0.0900547463695407</v>
      </c>
      <c r="U109" s="16" t="n">
        <f aca="false">SUMIFS(U$10:U$23, $A$10:$A$23,$A109, $C$10:$C$23, "$ Actual")/U$89</f>
        <v>0.0978014307442022</v>
      </c>
      <c r="V109" s="16" t="n">
        <f aca="false">SUMIFS(V$10:V$23, $A$10:$A$23,$A109, $C$10:$C$23, "$ Actual")/V$89</f>
        <v>0</v>
      </c>
      <c r="W109" s="16" t="n">
        <f aca="false">SUMIFS(W$10:W$23, $A$10:$A$23,$A109, $C$10:$C$23, "$ Actual")/W$89</f>
        <v>0.151664553070288</v>
      </c>
      <c r="X109" s="16" t="n">
        <f aca="false">SUMIFS(X$10:X$23, $A$10:$A$23,$A109, $C$10:$C$23, "$ Actual")/X$89</f>
        <v>0.0834365312918235</v>
      </c>
      <c r="Y109" s="16" t="n">
        <f aca="false">SUMIFS(Y$10:Y$23, $A$10:$A$23,$A109, $C$10:$C$23, "$ Actual")/Y$89</f>
        <v>0.058845773227127</v>
      </c>
      <c r="Z109" s="16"/>
      <c r="AA109" s="16" t="n">
        <f aca="false">SUMIFS(AA$10:AA$23, $A$10:$A$23,$A109, $C$10:$C$23, "$ Actual")/AA$89</f>
        <v>0.214129670690858</v>
      </c>
      <c r="AB109" s="16" t="n">
        <f aca="false">SUMIFS(AB$10:AB$23, $A$10:$A$23,$A109, $C$10:$C$23, "$ Actual")/AB$89</f>
        <v>0</v>
      </c>
      <c r="AC109" s="16"/>
      <c r="AD109" s="16" t="n">
        <f aca="false">SUMIFS(AD$10:AD$23, $A$10:$A$23,$A109, $C$10:$C$23, "$ Actual")/AD$89</f>
        <v>0.107757493258738</v>
      </c>
      <c r="AE109" s="16" t="n">
        <f aca="false">SUMIFS(AE$10:AE$23, $A$10:$A$23,$A109, $C$10:$C$23, "$ Actual")/AE$89</f>
        <v>0.162764182032418</v>
      </c>
      <c r="AF109" s="16" t="e">
        <f aca="false">SUMIFS(AF$10:AF$23, $A$10:$A$23,$A109, $C$10:$C$23, "$ Actual")/AF$89</f>
        <v>#DIV/0!</v>
      </c>
      <c r="AG109" s="16" t="n">
        <f aca="false">SUMIFS(AG$10:AG$23, $A$10:$A$23,$A109, $C$10:$C$23, "$ Actual")/AG$89</f>
        <v>0.138781372660437</v>
      </c>
      <c r="AH109" s="16" t="n">
        <f aca="false">SUMIFS(AH$10:AH$23, $A$10:$A$23,$A109, $C$10:$C$23, "$ Actual")/AH$89</f>
        <v>0.125932067667666</v>
      </c>
      <c r="AI109" s="16" t="n">
        <f aca="false">SUMIFS(AI$10:AI$23, $A$10:$A$23,$A109, $C$10:$C$23, "$ Actual")/AI$89</f>
        <v>0.176299425832781</v>
      </c>
      <c r="AJ109" s="16" t="n">
        <f aca="false">SUMIFS(AJ$10:AJ$23, $A$10:$A$23,$A109, $C$10:$C$23, "$ Actual")/AJ$89</f>
        <v>0.0913221554424082</v>
      </c>
      <c r="AK109" s="16"/>
      <c r="AL109" s="16" t="n">
        <f aca="false">SUMIFS(AL$10:AL$23, $A$10:$A$23,$A109, $C$10:$C$23, "$ Actual")/AL$89</f>
        <v>0.038427488819403</v>
      </c>
      <c r="AM109" s="16" t="n">
        <f aca="false">SUMIFS(AM$10:AM$23, $A$10:$A$23,$A109, $C$10:$C$23, "$ Actual")/AM$89</f>
        <v>0.0372443623785301</v>
      </c>
      <c r="AN109" s="16" t="n">
        <f aca="false">SUMIFS(AN$10:AN$23, $A$10:$A$23,$A109, $C$10:$C$23, "$ Actual")/AN$89</f>
        <v>0</v>
      </c>
      <c r="AO109" s="16" t="n">
        <f aca="false">SUMIFS(AO$10:AO$23, $A$10:$A$23,$A109, $C$10:$C$23, "$ Actual")/AO$89</f>
        <v>0</v>
      </c>
      <c r="AP109" s="16" t="n">
        <f aca="false">SUMIFS(AP$10:AP$23, $A$10:$A$23,$A109, $C$10:$C$23, "$ Actual")/AP$89</f>
        <v>0.034640234550165</v>
      </c>
      <c r="AQ109" s="16" t="n">
        <f aca="false">SUMIFS(AQ$10:AQ$23, $A$10:$A$23,$A109, $C$10:$C$23, "$ Actual")/AQ$89</f>
        <v>0.0185354780476376</v>
      </c>
      <c r="AR109" s="16" t="n">
        <f aca="false">SUMIFS(AR$10:AR$23, $A$10:$A$23,$A109, $C$10:$C$23, "$ Actual")/AR$89</f>
        <v>0.125930309848312</v>
      </c>
      <c r="AS109" s="16" t="n">
        <f aca="false">SUMIFS(AS$10:AS$23, $A$10:$A$23,$A109, $C$10:$C$23, "$ Actual")/AS$89</f>
        <v>0</v>
      </c>
      <c r="AT109" s="16" t="n">
        <f aca="false">SUMIFS(AT$10:AT$23, $A$10:$A$23,$A109, $C$10:$C$23, "$ Actual")/AT$89</f>
        <v>0</v>
      </c>
      <c r="AU109" s="16" t="n">
        <f aca="false">SUMIFS(AU$10:AU$23, $A$10:$A$23,$A109, $C$10:$C$23, "$ Actual")/AU$89</f>
        <v>0.100730518712058</v>
      </c>
      <c r="AV109" s="16" t="n">
        <f aca="false">SUMIFS(AV$10:AV$23, $A$10:$A$23,$A109, $C$10:$C$23, "$ Actual")/AV$89</f>
        <v>0</v>
      </c>
      <c r="AW109" s="16" t="n">
        <f aca="false">SUMIFS(AW$10:AW$23, $A$10:$A$23,$A109, $C$10:$C$23, "$ Actual")/AW$89</f>
        <v>0</v>
      </c>
      <c r="AX109" s="16"/>
      <c r="AY109" s="16" t="n">
        <f aca="false">SUMIFS(AY$10:AY$23, $A$10:$A$23,$A109, $C$10:$C$23, "$ Actual")/AY$89</f>
        <v>0.0317670691435863</v>
      </c>
      <c r="AZ109" s="16" t="n">
        <f aca="false">SUMIFS(AZ$10:AZ$23, $A$10:$A$23,$A109, $C$10:$C$23, "$ Actual")/AZ$89</f>
        <v>0.106964183338351</v>
      </c>
      <c r="BA109" s="16" t="n">
        <f aca="false">SUMIFS(BA$10:BA$23, $A$10:$A$23,$A109, $C$10:$C$23, "$ Actual")/BA$89</f>
        <v>0.075464914484836</v>
      </c>
      <c r="BB109" s="16" t="n">
        <f aca="false">SUMIFS(BB$10:BB$23, $A$10:$A$23,$A109, $C$10:$C$23, "$ Actual")/BB$89</f>
        <v>0.0796326096089918</v>
      </c>
      <c r="BC109" s="16" t="n">
        <f aca="false">SUMIFS(BC$10:BC$23, $A$10:$A$23,$A109, $C$10:$C$23, "$ Actual")/BC$89</f>
        <v>0.131245811615216</v>
      </c>
      <c r="BD109" s="16"/>
      <c r="BE109" s="16" t="n">
        <f aca="false">SUMIFS(BE$10:BE$23, $A$10:$A$23,$A109, $C$10:$C$23, "$ Actual")/BE$89</f>
        <v>0.0851362276692174</v>
      </c>
    </row>
    <row r="110" customFormat="false" ht="12.75" hidden="false" customHeight="true" outlineLevel="0" collapsed="false">
      <c r="A110" s="1" t="s">
        <v>55</v>
      </c>
      <c r="B110" s="1" t="n">
        <v>2025</v>
      </c>
      <c r="C110" s="17" t="s">
        <v>82</v>
      </c>
      <c r="D110" s="16" t="n">
        <f aca="false">SUMIFS(D$10:D$23, $A$10:$A$23,$A110, $C$10:$C$23, "$ Actual")/D$89</f>
        <v>0.462774337924894</v>
      </c>
      <c r="E110" s="16" t="n">
        <f aca="false">SUMIFS(E$10:E$23, $A$10:$A$23,$A110, $C$10:$C$23, "$ Actual")/E$89</f>
        <v>0.348375786867045</v>
      </c>
      <c r="F110" s="16" t="n">
        <f aca="false">SUMIFS(F$10:F$23, $A$10:$A$23,$A110, $C$10:$C$23, "$ Actual")/F$89</f>
        <v>0.362710858698485</v>
      </c>
      <c r="G110" s="16" t="n">
        <f aca="false">SUMIFS(G$10:G$23, $A$10:$A$23,$A110, $C$10:$C$23, "$ Actual")/G$89</f>
        <v>0.24423740386269</v>
      </c>
      <c r="H110" s="16" t="n">
        <f aca="false">SUMIFS(H$10:H$23, $A$10:$A$23,$A110, $C$10:$C$23, "$ Actual")/H$89</f>
        <v>0.282977975910729</v>
      </c>
      <c r="I110" s="16" t="n">
        <f aca="false">SUMIFS(I$10:I$23, $A$10:$A$23,$A110, $C$10:$C$23, "$ Actual")/I$89</f>
        <v>0.200870598859117</v>
      </c>
      <c r="J110" s="16" t="n">
        <f aca="false">SUMIFS(J$10:J$23, $A$10:$A$23,$A110, $C$10:$C$23, "$ Actual")/J$89</f>
        <v>0.283895191639977</v>
      </c>
      <c r="K110" s="16" t="n">
        <f aca="false">SUMIFS(K$10:K$23, $A$10:$A$23,$A110, $C$10:$C$23, "$ Actual")/K$89</f>
        <v>0.450583923918452</v>
      </c>
      <c r="L110" s="16" t="n">
        <f aca="false">SUMIFS(L$10:L$23, $A$10:$A$23,$A110, $C$10:$C$23, "$ Actual")/L$89</f>
        <v>0.462153348044006</v>
      </c>
      <c r="M110" s="16" t="n">
        <f aca="false">SUMIFS(M$10:M$23, $A$10:$A$23,$A110, $C$10:$C$23, "$ Actual")/M$89</f>
        <v>0.403120290957184</v>
      </c>
      <c r="N110" s="16"/>
      <c r="O110" s="16" t="n">
        <f aca="false">SUMIFS(O$10:O$23, $A$10:$A$23,$A110, $C$10:$C$23, "$ Actual")/O$89</f>
        <v>0.190601524235261</v>
      </c>
      <c r="P110" s="16" t="n">
        <f aca="false">SUMIFS(P$10:P$23, $A$10:$A$23,$A110, $C$10:$C$23, "$ Actual")/P$89</f>
        <v>0.37711395778481</v>
      </c>
      <c r="Q110" s="16" t="n">
        <f aca="false">SUMIFS(Q$10:Q$23, $A$10:$A$23,$A110, $C$10:$C$23, "$ Actual")/Q$89</f>
        <v>0.271513539249145</v>
      </c>
      <c r="R110" s="16" t="n">
        <f aca="false">SUMIFS(R$10:R$23, $A$10:$A$23,$A110, $C$10:$C$23, "$ Actual")/R$89</f>
        <v>0.399301141527603</v>
      </c>
      <c r="S110" s="16" t="n">
        <f aca="false">SUMIFS(S$10:S$23, $A$10:$A$23,$A110, $C$10:$C$23, "$ Actual")/S$89</f>
        <v>0.306800613853685</v>
      </c>
      <c r="T110" s="16" t="n">
        <f aca="false">SUMIFS(T$10:T$23, $A$10:$A$23,$A110, $C$10:$C$23, "$ Actual")/T$89</f>
        <v>0.24485467313567</v>
      </c>
      <c r="U110" s="16" t="n">
        <f aca="false">SUMIFS(U$10:U$23, $A$10:$A$23,$A110, $C$10:$C$23, "$ Actual")/U$89</f>
        <v>0.40970133105916</v>
      </c>
      <c r="V110" s="16" t="n">
        <f aca="false">SUMIFS(V$10:V$23, $A$10:$A$23,$A110, $C$10:$C$23, "$ Actual")/V$89</f>
        <v>0.358802621806832</v>
      </c>
      <c r="W110" s="16" t="n">
        <f aca="false">SUMIFS(W$10:W$23, $A$10:$A$23,$A110, $C$10:$C$23, "$ Actual")/W$89</f>
        <v>0.346469927965348</v>
      </c>
      <c r="X110" s="16" t="n">
        <f aca="false">SUMIFS(X$10:X$23, $A$10:$A$23,$A110, $C$10:$C$23, "$ Actual")/X$89</f>
        <v>0.435239206820626</v>
      </c>
      <c r="Y110" s="16" t="n">
        <f aca="false">SUMIFS(Y$10:Y$23, $A$10:$A$23,$A110, $C$10:$C$23, "$ Actual")/Y$89</f>
        <v>0.348369732277178</v>
      </c>
      <c r="Z110" s="16"/>
      <c r="AA110" s="16" t="n">
        <f aca="false">SUMIFS(AA$10:AA$23, $A$10:$A$23,$A110, $C$10:$C$23, "$ Actual")/AA$89</f>
        <v>0.150963543078296</v>
      </c>
      <c r="AB110" s="16" t="n">
        <f aca="false">SUMIFS(AB$10:AB$23, $A$10:$A$23,$A110, $C$10:$C$23, "$ Actual")/AB$89</f>
        <v>0.334274940446959</v>
      </c>
      <c r="AC110" s="16"/>
      <c r="AD110" s="16" t="n">
        <f aca="false">SUMIFS(AD$10:AD$23, $A$10:$A$23,$A110, $C$10:$C$23, "$ Actual")/AD$89</f>
        <v>0.253187561335254</v>
      </c>
      <c r="AE110" s="16" t="n">
        <f aca="false">SUMIFS(AE$10:AE$23, $A$10:$A$23,$A110, $C$10:$C$23, "$ Actual")/AE$89</f>
        <v>0.236736692321632</v>
      </c>
      <c r="AF110" s="16" t="e">
        <f aca="false">SUMIFS(AF$10:AF$23, $A$10:$A$23,$A110, $C$10:$C$23, "$ Actual")/AF$89</f>
        <v>#DIV/0!</v>
      </c>
      <c r="AG110" s="16" t="n">
        <f aca="false">SUMIFS(AG$10:AG$23, $A$10:$A$23,$A110, $C$10:$C$23, "$ Actual")/AG$89</f>
        <v>0.29803533494768</v>
      </c>
      <c r="AH110" s="16" t="n">
        <f aca="false">SUMIFS(AH$10:AH$23, $A$10:$A$23,$A110, $C$10:$C$23, "$ Actual")/AH$89</f>
        <v>0.308533656342262</v>
      </c>
      <c r="AI110" s="16" t="n">
        <f aca="false">SUMIFS(AI$10:AI$23, $A$10:$A$23,$A110, $C$10:$C$23, "$ Actual")/AI$89</f>
        <v>0.303148487239381</v>
      </c>
      <c r="AJ110" s="16" t="n">
        <f aca="false">SUMIFS(AJ$10:AJ$23, $A$10:$A$23,$A110, $C$10:$C$23, "$ Actual")/AJ$89</f>
        <v>0.343442411919647</v>
      </c>
      <c r="AK110" s="16"/>
      <c r="AL110" s="16" t="n">
        <f aca="false">SUMIFS(AL$10:AL$23, $A$10:$A$23,$A110, $C$10:$C$23, "$ Actual")/AL$89</f>
        <v>0.22891279634515</v>
      </c>
      <c r="AM110" s="16" t="n">
        <f aca="false">SUMIFS(AM$10:AM$23, $A$10:$A$23,$A110, $C$10:$C$23, "$ Actual")/AM$89</f>
        <v>0.0359604989670506</v>
      </c>
      <c r="AN110" s="16" t="n">
        <f aca="false">SUMIFS(AN$10:AN$23, $A$10:$A$23,$A110, $C$10:$C$23, "$ Actual")/AN$89</f>
        <v>0.251608346069284</v>
      </c>
      <c r="AO110" s="16" t="n">
        <f aca="false">SUMIFS(AO$10:AO$23, $A$10:$A$23,$A110, $C$10:$C$23, "$ Actual")/AO$89</f>
        <v>0.224552887517739</v>
      </c>
      <c r="AP110" s="16" t="n">
        <f aca="false">SUMIFS(AP$10:AP$23, $A$10:$A$23,$A110, $C$10:$C$23, "$ Actual")/AP$89</f>
        <v>0.285634924716565</v>
      </c>
      <c r="AQ110" s="16" t="n">
        <f aca="false">SUMIFS(AQ$10:AQ$23, $A$10:$A$23,$A110, $C$10:$C$23, "$ Actual")/AQ$89</f>
        <v>0.301423088422619</v>
      </c>
      <c r="AR110" s="16" t="n">
        <f aca="false">SUMIFS(AR$10:AR$23, $A$10:$A$23,$A110, $C$10:$C$23, "$ Actual")/AR$89</f>
        <v>0.268091456002458</v>
      </c>
      <c r="AS110" s="16" t="n">
        <f aca="false">SUMIFS(AS$10:AS$23, $A$10:$A$23,$A110, $C$10:$C$23, "$ Actual")/AS$89</f>
        <v>0.278545851300939</v>
      </c>
      <c r="AT110" s="16" t="n">
        <f aca="false">SUMIFS(AT$10:AT$23, $A$10:$A$23,$A110, $C$10:$C$23, "$ Actual")/AT$89</f>
        <v>0.224392757884869</v>
      </c>
      <c r="AU110" s="16" t="n">
        <f aca="false">SUMIFS(AU$10:AU$23, $A$10:$A$23,$A110, $C$10:$C$23, "$ Actual")/AU$89</f>
        <v>0.358185559773918</v>
      </c>
      <c r="AV110" s="16" t="n">
        <f aca="false">SUMIFS(AV$10:AV$23, $A$10:$A$23,$A110, $C$10:$C$23, "$ Actual")/AV$89</f>
        <v>0</v>
      </c>
      <c r="AW110" s="16" t="n">
        <f aca="false">SUMIFS(AW$10:AW$23, $A$10:$A$23,$A110, $C$10:$C$23, "$ Actual")/AW$89</f>
        <v>0</v>
      </c>
      <c r="AX110" s="16"/>
      <c r="AY110" s="16" t="n">
        <f aca="false">SUMIFS(AY$10:AY$23, $A$10:$A$23,$A110, $C$10:$C$23, "$ Actual")/AY$89</f>
        <v>0.238356105109382</v>
      </c>
      <c r="AZ110" s="16" t="n">
        <f aca="false">SUMIFS(AZ$10:AZ$23, $A$10:$A$23,$A110, $C$10:$C$23, "$ Actual")/AZ$89</f>
        <v>0.319585198727703</v>
      </c>
      <c r="BA110" s="16" t="n">
        <f aca="false">SUMIFS(BA$10:BA$23, $A$10:$A$23,$A110, $C$10:$C$23, "$ Actual")/BA$89</f>
        <v>0.317256847326856</v>
      </c>
      <c r="BB110" s="16" t="n">
        <f aca="false">SUMIFS(BB$10:BB$23, $A$10:$A$23,$A110, $C$10:$C$23, "$ Actual")/BB$89</f>
        <v>0.266103327907507</v>
      </c>
      <c r="BC110" s="16" t="n">
        <f aca="false">SUMIFS(BC$10:BC$23, $A$10:$A$23,$A110, $C$10:$C$23, "$ Actual")/BC$89</f>
        <v>0.289720177146603</v>
      </c>
      <c r="BD110" s="16"/>
      <c r="BE110" s="16" t="n">
        <f aca="false">SUMIFS(BE$10:BE$23, $A$10:$A$23,$A110, $C$10:$C$23, "$ Actual")/BE$89</f>
        <v>0.290061241437149</v>
      </c>
    </row>
    <row r="111" customFormat="false" ht="12.75" hidden="false" customHeight="true" outlineLevel="0" collapsed="false">
      <c r="A111" s="1" t="s">
        <v>56</v>
      </c>
      <c r="B111" s="1" t="n">
        <v>2025</v>
      </c>
      <c r="C111" s="17" t="s">
        <v>82</v>
      </c>
      <c r="D111" s="16" t="n">
        <f aca="false">SUMIFS(D$10:D$23, $A$10:$A$23,$A111, $C$10:$C$23, "$ Actual")/D$89</f>
        <v>0.0502486458972174</v>
      </c>
      <c r="E111" s="16" t="n">
        <f aca="false">SUMIFS(E$10:E$23, $A$10:$A$23,$A111, $C$10:$C$23, "$ Actual")/E$89</f>
        <v>0.0940044606249776</v>
      </c>
      <c r="F111" s="16" t="n">
        <f aca="false">SUMIFS(F$10:F$23, $A$10:$A$23,$A111, $C$10:$C$23, "$ Actual")/F$89</f>
        <v>0.0756353687944044</v>
      </c>
      <c r="G111" s="16" t="n">
        <f aca="false">SUMIFS(G$10:G$23, $A$10:$A$23,$A111, $C$10:$C$23, "$ Actual")/G$89</f>
        <v>0.0723037927976022</v>
      </c>
      <c r="H111" s="16" t="n">
        <f aca="false">SUMIFS(H$10:H$23, $A$10:$A$23,$A111, $C$10:$C$23, "$ Actual")/H$89</f>
        <v>0.0471546546131669</v>
      </c>
      <c r="I111" s="16" t="n">
        <f aca="false">SUMIFS(I$10:I$23, $A$10:$A$23,$A111, $C$10:$C$23, "$ Actual")/I$89</f>
        <v>0.0566753292854696</v>
      </c>
      <c r="J111" s="16" t="n">
        <f aca="false">SUMIFS(J$10:J$23, $A$10:$A$23,$A111, $C$10:$C$23, "$ Actual")/J$89</f>
        <v>0.0580873012487071</v>
      </c>
      <c r="K111" s="16" t="n">
        <f aca="false">SUMIFS(K$10:K$23, $A$10:$A$23,$A111, $C$10:$C$23, "$ Actual")/K$89</f>
        <v>0</v>
      </c>
      <c r="L111" s="16" t="n">
        <f aca="false">SUMIFS(L$10:L$23, $A$10:$A$23,$A111, $C$10:$C$23, "$ Actual")/L$89</f>
        <v>0</v>
      </c>
      <c r="M111" s="16" t="n">
        <f aca="false">SUMIFS(M$10:M$23, $A$10:$A$23,$A111, $C$10:$C$23, "$ Actual")/M$89</f>
        <v>0.052074653304286</v>
      </c>
      <c r="N111" s="16"/>
      <c r="O111" s="16" t="n">
        <f aca="false">SUMIFS(O$10:O$23, $A$10:$A$23,$A111, $C$10:$C$23, "$ Actual")/O$89</f>
        <v>0.100371935867297</v>
      </c>
      <c r="P111" s="16" t="n">
        <f aca="false">SUMIFS(P$10:P$23, $A$10:$A$23,$A111, $C$10:$C$23, "$ Actual")/P$89</f>
        <v>0.146338565731264</v>
      </c>
      <c r="Q111" s="16" t="n">
        <f aca="false">SUMIFS(Q$10:Q$23, $A$10:$A$23,$A111, $C$10:$C$23, "$ Actual")/Q$89</f>
        <v>0.0766626624386686</v>
      </c>
      <c r="R111" s="16" t="n">
        <f aca="false">SUMIFS(R$10:R$23, $A$10:$A$23,$A111, $C$10:$C$23, "$ Actual")/R$89</f>
        <v>0.250562670485683</v>
      </c>
      <c r="S111" s="16" t="n">
        <f aca="false">SUMIFS(S$10:S$23, $A$10:$A$23,$A111, $C$10:$C$23, "$ Actual")/S$89</f>
        <v>0.173205763419045</v>
      </c>
      <c r="T111" s="16" t="n">
        <f aca="false">SUMIFS(T$10:T$23, $A$10:$A$23,$A111, $C$10:$C$23, "$ Actual")/T$89</f>
        <v>0.102999187576306</v>
      </c>
      <c r="U111" s="16" t="n">
        <f aca="false">SUMIFS(U$10:U$23, $A$10:$A$23,$A111, $C$10:$C$23, "$ Actual")/U$89</f>
        <v>0.0831773527791157</v>
      </c>
      <c r="V111" s="16" t="n">
        <f aca="false">SUMIFS(V$10:V$23, $A$10:$A$23,$A111, $C$10:$C$23, "$ Actual")/V$89</f>
        <v>0.0324597009745862</v>
      </c>
      <c r="W111" s="16" t="n">
        <f aca="false">SUMIFS(W$10:W$23, $A$10:$A$23,$A111, $C$10:$C$23, "$ Actual")/W$89</f>
        <v>0.0942317059329535</v>
      </c>
      <c r="X111" s="16" t="n">
        <f aca="false">SUMIFS(X$10:X$23, $A$10:$A$23,$A111, $C$10:$C$23, "$ Actual")/X$89</f>
        <v>0.0646026169640292</v>
      </c>
      <c r="Y111" s="16" t="n">
        <f aca="false">SUMIFS(Y$10:Y$23, $A$10:$A$23,$A111, $C$10:$C$23, "$ Actual")/Y$89</f>
        <v>0.0626595588338236</v>
      </c>
      <c r="Z111" s="16"/>
      <c r="AA111" s="16" t="n">
        <f aca="false">SUMIFS(AA$10:AA$23, $A$10:$A$23,$A111, $C$10:$C$23, "$ Actual")/AA$89</f>
        <v>0.0917957944315238</v>
      </c>
      <c r="AB111" s="16" t="n">
        <f aca="false">SUMIFS(AB$10:AB$23, $A$10:$A$23,$A111, $C$10:$C$23, "$ Actual")/AB$89</f>
        <v>0.169095486602858</v>
      </c>
      <c r="AC111" s="16"/>
      <c r="AD111" s="16" t="n">
        <f aca="false">SUMIFS(AD$10:AD$23, $A$10:$A$23,$A111, $C$10:$C$23, "$ Actual")/AD$89</f>
        <v>0</v>
      </c>
      <c r="AE111" s="16" t="n">
        <f aca="false">SUMIFS(AE$10:AE$23, $A$10:$A$23,$A111, $C$10:$C$23, "$ Actual")/AE$89</f>
        <v>0.0269832197676209</v>
      </c>
      <c r="AF111" s="16" t="e">
        <f aca="false">SUMIFS(AF$10:AF$23, $A$10:$A$23,$A111, $C$10:$C$23, "$ Actual")/AF$89</f>
        <v>#DIV/0!</v>
      </c>
      <c r="AG111" s="16" t="n">
        <f aca="false">SUMIFS(AG$10:AG$23, $A$10:$A$23,$A111, $C$10:$C$23, "$ Actual")/AG$89</f>
        <v>0.0341958720528713</v>
      </c>
      <c r="AH111" s="16" t="n">
        <f aca="false">SUMIFS(AH$10:AH$23, $A$10:$A$23,$A111, $C$10:$C$23, "$ Actual")/AH$89</f>
        <v>0.0328416961639309</v>
      </c>
      <c r="AI111" s="16" t="n">
        <f aca="false">SUMIFS(AI$10:AI$23, $A$10:$A$23,$A111, $C$10:$C$23, "$ Actual")/AI$89</f>
        <v>0.0241023862139036</v>
      </c>
      <c r="AJ111" s="16" t="n">
        <f aca="false">SUMIFS(AJ$10:AJ$23, $A$10:$A$23,$A111, $C$10:$C$23, "$ Actual")/AJ$89</f>
        <v>0.0419467976653366</v>
      </c>
      <c r="AK111" s="16"/>
      <c r="AL111" s="16" t="n">
        <f aca="false">SUMIFS(AL$10:AL$23, $A$10:$A$23,$A111, $C$10:$C$23, "$ Actual")/AL$89</f>
        <v>0.0495824302462224</v>
      </c>
      <c r="AM111" s="16" t="n">
        <f aca="false">SUMIFS(AM$10:AM$23, $A$10:$A$23,$A111, $C$10:$C$23, "$ Actual")/AM$89</f>
        <v>0.176603835787228</v>
      </c>
      <c r="AN111" s="16" t="n">
        <f aca="false">SUMIFS(AN$10:AN$23, $A$10:$A$23,$A111, $C$10:$C$23, "$ Actual")/AN$89</f>
        <v>0.0572221272852502</v>
      </c>
      <c r="AO111" s="16" t="n">
        <f aca="false">SUMIFS(AO$10:AO$23, $A$10:$A$23,$A111, $C$10:$C$23, "$ Actual")/AO$89</f>
        <v>0.0527131710250483</v>
      </c>
      <c r="AP111" s="16" t="n">
        <f aca="false">SUMIFS(AP$10:AP$23, $A$10:$A$23,$A111, $C$10:$C$23, "$ Actual")/AP$89</f>
        <v>0.0916254219129956</v>
      </c>
      <c r="AQ111" s="16" t="n">
        <f aca="false">SUMIFS(AQ$10:AQ$23, $A$10:$A$23,$A111, $C$10:$C$23, "$ Actual")/AQ$89</f>
        <v>0.124305768638178</v>
      </c>
      <c r="AR111" s="16" t="n">
        <f aca="false">SUMIFS(AR$10:AR$23, $A$10:$A$23,$A111, $C$10:$C$23, "$ Actual")/AR$89</f>
        <v>0.0549979997989652</v>
      </c>
      <c r="AS111" s="16" t="n">
        <f aca="false">SUMIFS(AS$10:AS$23, $A$10:$A$23,$A111, $C$10:$C$23, "$ Actual")/AS$89</f>
        <v>0.0591020878479372</v>
      </c>
      <c r="AT111" s="16" t="n">
        <f aca="false">SUMIFS(AT$10:AT$23, $A$10:$A$23,$A111, $C$10:$C$23, "$ Actual")/AT$89</f>
        <v>0</v>
      </c>
      <c r="AU111" s="16" t="n">
        <f aca="false">SUMIFS(AU$10:AU$23, $A$10:$A$23,$A111, $C$10:$C$23, "$ Actual")/AU$89</f>
        <v>0</v>
      </c>
      <c r="AV111" s="16" t="n">
        <f aca="false">SUMIFS(AV$10:AV$23, $A$10:$A$23,$A111, $C$10:$C$23, "$ Actual")/AV$89</f>
        <v>0</v>
      </c>
      <c r="AW111" s="16" t="n">
        <f aca="false">SUMIFS(AW$10:AW$23, $A$10:$A$23,$A111, $C$10:$C$23, "$ Actual")/AW$89</f>
        <v>0</v>
      </c>
      <c r="AX111" s="16"/>
      <c r="AY111" s="16" t="n">
        <f aca="false">SUMIFS(AY$10:AY$23, $A$10:$A$23,$A111, $C$10:$C$23, "$ Actual")/AY$89</f>
        <v>0.0669047732328324</v>
      </c>
      <c r="AZ111" s="16" t="n">
        <f aca="false">SUMIFS(AZ$10:AZ$23, $A$10:$A$23,$A111, $C$10:$C$23, "$ Actual")/AZ$89</f>
        <v>0.0560994376748587</v>
      </c>
      <c r="BA111" s="16" t="n">
        <f aca="false">SUMIFS(BA$10:BA$23, $A$10:$A$23,$A111, $C$10:$C$23, "$ Actual")/BA$89</f>
        <v>0.106135556553244</v>
      </c>
      <c r="BB111" s="16" t="n">
        <f aca="false">SUMIFS(BB$10:BB$23, $A$10:$A$23,$A111, $C$10:$C$23, "$ Actual")/BB$89</f>
        <v>0.140348530659223</v>
      </c>
      <c r="BC111" s="16" t="n">
        <f aca="false">SUMIFS(BC$10:BC$23, $A$10:$A$23,$A111, $C$10:$C$23, "$ Actual")/BC$89</f>
        <v>0.0258060537078192</v>
      </c>
      <c r="BD111" s="16"/>
      <c r="BE111" s="16" t="n">
        <f aca="false">SUMIFS(BE$10:BE$23, $A$10:$A$23,$A111, $C$10:$C$23, "$ Actual")/BE$89</f>
        <v>0.0657256100369576</v>
      </c>
    </row>
    <row r="112" customFormat="false" ht="12.75" hidden="false" customHeight="true" outlineLevel="0" collapsed="false">
      <c r="A112" s="1" t="s">
        <v>57</v>
      </c>
      <c r="B112" s="1" t="n">
        <v>2025</v>
      </c>
      <c r="C112" s="17" t="s">
        <v>82</v>
      </c>
      <c r="D112" s="16" t="n">
        <f aca="false">SUMIFS(D$10:D$23, $A$10:$A$23,$A112, $C$10:$C$23, "$ Actual")/D$89</f>
        <v>0</v>
      </c>
      <c r="E112" s="16" t="n">
        <f aca="false">SUMIFS(E$10:E$23, $A$10:$A$23,$A112, $C$10:$C$23, "$ Actual")/E$89</f>
        <v>0</v>
      </c>
      <c r="F112" s="16" t="n">
        <f aca="false">SUMIFS(F$10:F$23, $A$10:$A$23,$A112, $C$10:$C$23, "$ Actual")/F$89</f>
        <v>0</v>
      </c>
      <c r="G112" s="16" t="n">
        <f aca="false">SUMIFS(G$10:G$23, $A$10:$A$23,$A112, $C$10:$C$23, "$ Actual")/G$89</f>
        <v>0</v>
      </c>
      <c r="H112" s="16" t="n">
        <f aca="false">SUMIFS(H$10:H$23, $A$10:$A$23,$A112, $C$10:$C$23, "$ Actual")/H$89</f>
        <v>0</v>
      </c>
      <c r="I112" s="16" t="n">
        <f aca="false">SUMIFS(I$10:I$23, $A$10:$A$23,$A112, $C$10:$C$23, "$ Actual")/I$89</f>
        <v>0</v>
      </c>
      <c r="J112" s="16" t="n">
        <f aca="false">SUMIFS(J$10:J$23, $A$10:$A$23,$A112, $C$10:$C$23, "$ Actual")/J$89</f>
        <v>0</v>
      </c>
      <c r="K112" s="16" t="n">
        <f aca="false">SUMIFS(K$10:K$23, $A$10:$A$23,$A112, $C$10:$C$23, "$ Actual")/K$89</f>
        <v>0</v>
      </c>
      <c r="L112" s="16" t="n">
        <f aca="false">SUMIFS(L$10:L$23, $A$10:$A$23,$A112, $C$10:$C$23, "$ Actual")/L$89</f>
        <v>0</v>
      </c>
      <c r="M112" s="16" t="n">
        <f aca="false">SUMIFS(M$10:M$23, $A$10:$A$23,$A112, $C$10:$C$23, "$ Actual")/M$89</f>
        <v>0</v>
      </c>
      <c r="N112" s="16"/>
      <c r="O112" s="16" t="n">
        <f aca="false">SUMIFS(O$10:O$23, $A$10:$A$23,$A112, $C$10:$C$23, "$ Actual")/O$89</f>
        <v>0</v>
      </c>
      <c r="P112" s="16" t="n">
        <f aca="false">SUMIFS(P$10:P$23, $A$10:$A$23,$A112, $C$10:$C$23, "$ Actual")/P$89</f>
        <v>0</v>
      </c>
      <c r="Q112" s="16" t="n">
        <f aca="false">SUMIFS(Q$10:Q$23, $A$10:$A$23,$A112, $C$10:$C$23, "$ Actual")/Q$89</f>
        <v>0</v>
      </c>
      <c r="R112" s="16" t="n">
        <f aca="false">SUMIFS(R$10:R$23, $A$10:$A$23,$A112, $C$10:$C$23, "$ Actual")/R$89</f>
        <v>0</v>
      </c>
      <c r="S112" s="16" t="n">
        <f aca="false">SUMIFS(S$10:S$23, $A$10:$A$23,$A112, $C$10:$C$23, "$ Actual")/S$89</f>
        <v>0</v>
      </c>
      <c r="T112" s="16" t="n">
        <f aca="false">SUMIFS(T$10:T$23, $A$10:$A$23,$A112, $C$10:$C$23, "$ Actual")/T$89</f>
        <v>0</v>
      </c>
      <c r="U112" s="16" t="n">
        <f aca="false">SUMIFS(U$10:U$23, $A$10:$A$23,$A112, $C$10:$C$23, "$ Actual")/U$89</f>
        <v>0</v>
      </c>
      <c r="V112" s="16" t="n">
        <f aca="false">SUMIFS(V$10:V$23, $A$10:$A$23,$A112, $C$10:$C$23, "$ Actual")/V$89</f>
        <v>0</v>
      </c>
      <c r="W112" s="16" t="n">
        <f aca="false">SUMIFS(W$10:W$23, $A$10:$A$23,$A112, $C$10:$C$23, "$ Actual")/W$89</f>
        <v>0</v>
      </c>
      <c r="X112" s="16" t="n">
        <f aca="false">SUMIFS(X$10:X$23, $A$10:$A$23,$A112, $C$10:$C$23, "$ Actual")/X$89</f>
        <v>0</v>
      </c>
      <c r="Y112" s="16" t="n">
        <f aca="false">SUMIFS(Y$10:Y$23, $A$10:$A$23,$A112, $C$10:$C$23, "$ Actual")/Y$89</f>
        <v>0</v>
      </c>
      <c r="Z112" s="16"/>
      <c r="AA112" s="16" t="n">
        <f aca="false">SUMIFS(AA$10:AA$23, $A$10:$A$23,$A112, $C$10:$C$23, "$ Actual")/AA$89</f>
        <v>0</v>
      </c>
      <c r="AB112" s="16" t="n">
        <f aca="false">SUMIFS(AB$10:AB$23, $A$10:$A$23,$A112, $C$10:$C$23, "$ Actual")/AB$89</f>
        <v>0</v>
      </c>
      <c r="AC112" s="16"/>
      <c r="AD112" s="16" t="n">
        <f aca="false">SUMIFS(AD$10:AD$23, $A$10:$A$23,$A112, $C$10:$C$23, "$ Actual")/AD$89</f>
        <v>0</v>
      </c>
      <c r="AE112" s="16" t="n">
        <f aca="false">SUMIFS(AE$10:AE$23, $A$10:$A$23,$A112, $C$10:$C$23, "$ Actual")/AE$89</f>
        <v>0</v>
      </c>
      <c r="AF112" s="16" t="e">
        <f aca="false">SUMIFS(AF$10:AF$23, $A$10:$A$23,$A112, $C$10:$C$23, "$ Actual")/AF$89</f>
        <v>#DIV/0!</v>
      </c>
      <c r="AG112" s="16" t="n">
        <f aca="false">SUMIFS(AG$10:AG$23, $A$10:$A$23,$A112, $C$10:$C$23, "$ Actual")/AG$89</f>
        <v>0</v>
      </c>
      <c r="AH112" s="16" t="n">
        <f aca="false">SUMIFS(AH$10:AH$23, $A$10:$A$23,$A112, $C$10:$C$23, "$ Actual")/AH$89</f>
        <v>0</v>
      </c>
      <c r="AI112" s="16" t="n">
        <f aca="false">SUMIFS(AI$10:AI$23, $A$10:$A$23,$A112, $C$10:$C$23, "$ Actual")/AI$89</f>
        <v>0</v>
      </c>
      <c r="AJ112" s="16" t="n">
        <f aca="false">SUMIFS(AJ$10:AJ$23, $A$10:$A$23,$A112, $C$10:$C$23, "$ Actual")/AJ$89</f>
        <v>0</v>
      </c>
      <c r="AK112" s="16"/>
      <c r="AL112" s="16" t="n">
        <f aca="false">SUMIFS(AL$10:AL$23, $A$10:$A$23,$A112, $C$10:$C$23, "$ Actual")/AL$89</f>
        <v>0</v>
      </c>
      <c r="AM112" s="16" t="n">
        <f aca="false">SUMIFS(AM$10:AM$23, $A$10:$A$23,$A112, $C$10:$C$23, "$ Actual")/AM$89</f>
        <v>0</v>
      </c>
      <c r="AN112" s="16" t="n">
        <f aca="false">SUMIFS(AN$10:AN$23, $A$10:$A$23,$A112, $C$10:$C$23, "$ Actual")/AN$89</f>
        <v>0</v>
      </c>
      <c r="AO112" s="16" t="n">
        <f aca="false">SUMIFS(AO$10:AO$23, $A$10:$A$23,$A112, $C$10:$C$23, "$ Actual")/AO$89</f>
        <v>0</v>
      </c>
      <c r="AP112" s="16" t="n">
        <f aca="false">SUMIFS(AP$10:AP$23, $A$10:$A$23,$A112, $C$10:$C$23, "$ Actual")/AP$89</f>
        <v>0</v>
      </c>
      <c r="AQ112" s="16" t="n">
        <f aca="false">SUMIFS(AQ$10:AQ$23, $A$10:$A$23,$A112, $C$10:$C$23, "$ Actual")/AQ$89</f>
        <v>0</v>
      </c>
      <c r="AR112" s="16" t="n">
        <f aca="false">SUMIFS(AR$10:AR$23, $A$10:$A$23,$A112, $C$10:$C$23, "$ Actual")/AR$89</f>
        <v>0</v>
      </c>
      <c r="AS112" s="16" t="n">
        <f aca="false">SUMIFS(AS$10:AS$23, $A$10:$A$23,$A112, $C$10:$C$23, "$ Actual")/AS$89</f>
        <v>0</v>
      </c>
      <c r="AT112" s="16" t="n">
        <f aca="false">SUMIFS(AT$10:AT$23, $A$10:$A$23,$A112, $C$10:$C$23, "$ Actual")/AT$89</f>
        <v>0</v>
      </c>
      <c r="AU112" s="16" t="n">
        <f aca="false">SUMIFS(AU$10:AU$23, $A$10:$A$23,$A112, $C$10:$C$23, "$ Actual")/AU$89</f>
        <v>0</v>
      </c>
      <c r="AV112" s="16" t="n">
        <f aca="false">SUMIFS(AV$10:AV$23, $A$10:$A$23,$A112, $C$10:$C$23, "$ Actual")/AV$89</f>
        <v>0</v>
      </c>
      <c r="AW112" s="16" t="n">
        <f aca="false">SUMIFS(AW$10:AW$23, $A$10:$A$23,$A112, $C$10:$C$23, "$ Actual")/AW$89</f>
        <v>0</v>
      </c>
      <c r="AX112" s="16"/>
      <c r="AY112" s="16" t="n">
        <f aca="false">SUMIFS(AY$10:AY$23, $A$10:$A$23,$A112, $C$10:$C$23, "$ Actual")/AY$89</f>
        <v>0</v>
      </c>
      <c r="AZ112" s="16" t="n">
        <f aca="false">SUMIFS(AZ$10:AZ$23, $A$10:$A$23,$A112, $C$10:$C$23, "$ Actual")/AZ$89</f>
        <v>0</v>
      </c>
      <c r="BA112" s="16" t="n">
        <f aca="false">SUMIFS(BA$10:BA$23, $A$10:$A$23,$A112, $C$10:$C$23, "$ Actual")/BA$89</f>
        <v>0</v>
      </c>
      <c r="BB112" s="16" t="n">
        <f aca="false">SUMIFS(BB$10:BB$23, $A$10:$A$23,$A112, $C$10:$C$23, "$ Actual")/BB$89</f>
        <v>0</v>
      </c>
      <c r="BC112" s="16" t="n">
        <f aca="false">SUMIFS(BC$10:BC$23, $A$10:$A$23,$A112, $C$10:$C$23, "$ Actual")/BC$89</f>
        <v>0</v>
      </c>
      <c r="BD112" s="16"/>
      <c r="BE112" s="16" t="n">
        <f aca="false">SUMIFS(BE$10:BE$23, $A$10:$A$23,$A112, $C$10:$C$23, "$ Actual")/BE$89</f>
        <v>0</v>
      </c>
    </row>
    <row r="113" customFormat="false" ht="12.75" hidden="false" customHeight="true" outlineLevel="0" collapsed="false">
      <c r="A113" s="1" t="s">
        <v>58</v>
      </c>
      <c r="B113" s="1" t="n">
        <v>2025</v>
      </c>
      <c r="C113" s="17" t="s">
        <v>82</v>
      </c>
      <c r="D113" s="16" t="n">
        <f aca="false">SUMIFS(D$10:D$23, $A$10:$A$23,$A113, $C$10:$C$23, "$ Actual")/D$89</f>
        <v>0</v>
      </c>
      <c r="E113" s="16" t="n">
        <f aca="false">SUMIFS(E$10:E$23, $A$10:$A$23,$A113, $C$10:$C$23, "$ Actual")/E$89</f>
        <v>0</v>
      </c>
      <c r="F113" s="16" t="n">
        <f aca="false">SUMIFS(F$10:F$23, $A$10:$A$23,$A113, $C$10:$C$23, "$ Actual")/F$89</f>
        <v>0</v>
      </c>
      <c r="G113" s="16" t="n">
        <f aca="false">SUMIFS(G$10:G$23, $A$10:$A$23,$A113, $C$10:$C$23, "$ Actual")/G$89</f>
        <v>0</v>
      </c>
      <c r="H113" s="16" t="n">
        <f aca="false">SUMIFS(H$10:H$23, $A$10:$A$23,$A113, $C$10:$C$23, "$ Actual")/H$89</f>
        <v>0</v>
      </c>
      <c r="I113" s="16" t="n">
        <f aca="false">SUMIFS(I$10:I$23, $A$10:$A$23,$A113, $C$10:$C$23, "$ Actual")/I$89</f>
        <v>0</v>
      </c>
      <c r="J113" s="16" t="n">
        <f aca="false">SUMIFS(J$10:J$23, $A$10:$A$23,$A113, $C$10:$C$23, "$ Actual")/J$89</f>
        <v>0.00391317616707589</v>
      </c>
      <c r="K113" s="16" t="n">
        <f aca="false">SUMIFS(K$10:K$23, $A$10:$A$23,$A113, $C$10:$C$23, "$ Actual")/K$89</f>
        <v>0.0224127362145501</v>
      </c>
      <c r="L113" s="16" t="n">
        <f aca="false">SUMIFS(L$10:L$23, $A$10:$A$23,$A113, $C$10:$C$23, "$ Actual")/L$89</f>
        <v>0.0263343828621529</v>
      </c>
      <c r="M113" s="16" t="n">
        <f aca="false">SUMIFS(M$10:M$23, $A$10:$A$23,$A113, $C$10:$C$23, "$ Actual")/M$89</f>
        <v>0.00568073400375663</v>
      </c>
      <c r="N113" s="16"/>
      <c r="O113" s="16" t="n">
        <f aca="false">SUMIFS(O$10:O$23, $A$10:$A$23,$A113, $C$10:$C$23, "$ Actual")/O$89</f>
        <v>0</v>
      </c>
      <c r="P113" s="16" t="n">
        <f aca="false">SUMIFS(P$10:P$23, $A$10:$A$23,$A113, $C$10:$C$23, "$ Actual")/P$89</f>
        <v>0</v>
      </c>
      <c r="Q113" s="16" t="n">
        <f aca="false">SUMIFS(Q$10:Q$23, $A$10:$A$23,$A113, $C$10:$C$23, "$ Actual")/Q$89</f>
        <v>0</v>
      </c>
      <c r="R113" s="16" t="n">
        <f aca="false">SUMIFS(R$10:R$23, $A$10:$A$23,$A113, $C$10:$C$23, "$ Actual")/R$89</f>
        <v>0</v>
      </c>
      <c r="S113" s="16" t="n">
        <f aca="false">SUMIFS(S$10:S$23, $A$10:$A$23,$A113, $C$10:$C$23, "$ Actual")/S$89</f>
        <v>0</v>
      </c>
      <c r="T113" s="16" t="n">
        <f aca="false">SUMIFS(T$10:T$23, $A$10:$A$23,$A113, $C$10:$C$23, "$ Actual")/T$89</f>
        <v>0</v>
      </c>
      <c r="U113" s="16" t="n">
        <f aca="false">SUMIFS(U$10:U$23, $A$10:$A$23,$A113, $C$10:$C$23, "$ Actual")/U$89</f>
        <v>0</v>
      </c>
      <c r="V113" s="16" t="n">
        <f aca="false">SUMIFS(V$10:V$23, $A$10:$A$23,$A113, $C$10:$C$23, "$ Actual")/V$89</f>
        <v>0</v>
      </c>
      <c r="W113" s="16" t="n">
        <f aca="false">SUMIFS(W$10:W$23, $A$10:$A$23,$A113, $C$10:$C$23, "$ Actual")/W$89</f>
        <v>0.00370460405993421</v>
      </c>
      <c r="X113" s="16" t="n">
        <f aca="false">SUMIFS(X$10:X$23, $A$10:$A$23,$A113, $C$10:$C$23, "$ Actual")/X$89</f>
        <v>0</v>
      </c>
      <c r="Y113" s="16" t="n">
        <f aca="false">SUMIFS(Y$10:Y$23, $A$10:$A$23,$A113, $C$10:$C$23, "$ Actual")/Y$89</f>
        <v>0</v>
      </c>
      <c r="Z113" s="16"/>
      <c r="AA113" s="16" t="n">
        <f aca="false">SUMIFS(AA$10:AA$23, $A$10:$A$23,$A113, $C$10:$C$23, "$ Actual")/AA$89</f>
        <v>0</v>
      </c>
      <c r="AB113" s="16" t="n">
        <f aca="false">SUMIFS(AB$10:AB$23, $A$10:$A$23,$A113, $C$10:$C$23, "$ Actual")/AB$89</f>
        <v>0</v>
      </c>
      <c r="AC113" s="16"/>
      <c r="AD113" s="16" t="n">
        <f aca="false">SUMIFS(AD$10:AD$23, $A$10:$A$23,$A113, $C$10:$C$23, "$ Actual")/AD$89</f>
        <v>0</v>
      </c>
      <c r="AE113" s="16" t="n">
        <f aca="false">SUMIFS(AE$10:AE$23, $A$10:$A$23,$A113, $C$10:$C$23, "$ Actual")/AE$89</f>
        <v>0</v>
      </c>
      <c r="AF113" s="16" t="e">
        <f aca="false">SUMIFS(AF$10:AF$23, $A$10:$A$23,$A113, $C$10:$C$23, "$ Actual")/AF$89</f>
        <v>#DIV/0!</v>
      </c>
      <c r="AG113" s="16" t="n">
        <f aca="false">SUMIFS(AG$10:AG$23, $A$10:$A$23,$A113, $C$10:$C$23, "$ Actual")/AG$89</f>
        <v>0</v>
      </c>
      <c r="AH113" s="16" t="n">
        <f aca="false">SUMIFS(AH$10:AH$23, $A$10:$A$23,$A113, $C$10:$C$23, "$ Actual")/AH$89</f>
        <v>0</v>
      </c>
      <c r="AI113" s="16" t="n">
        <f aca="false">SUMIFS(AI$10:AI$23, $A$10:$A$23,$A113, $C$10:$C$23, "$ Actual")/AI$89</f>
        <v>0</v>
      </c>
      <c r="AJ113" s="16" t="n">
        <f aca="false">SUMIFS(AJ$10:AJ$23, $A$10:$A$23,$A113, $C$10:$C$23, "$ Actual")/AJ$89</f>
        <v>0.0244446812597274</v>
      </c>
      <c r="AK113" s="16"/>
      <c r="AL113" s="16" t="n">
        <f aca="false">SUMIFS(AL$10:AL$23, $A$10:$A$23,$A113, $C$10:$C$23, "$ Actual")/AL$89</f>
        <v>0</v>
      </c>
      <c r="AM113" s="16" t="n">
        <f aca="false">SUMIFS(AM$10:AM$23, $A$10:$A$23,$A113, $C$10:$C$23, "$ Actual")/AM$89</f>
        <v>0.0154234365617563</v>
      </c>
      <c r="AN113" s="16" t="n">
        <f aca="false">SUMIFS(AN$10:AN$23, $A$10:$A$23,$A113, $C$10:$C$23, "$ Actual")/AN$89</f>
        <v>0</v>
      </c>
      <c r="AO113" s="16" t="n">
        <f aca="false">SUMIFS(AO$10:AO$23, $A$10:$A$23,$A113, $C$10:$C$23, "$ Actual")/AO$89</f>
        <v>0</v>
      </c>
      <c r="AP113" s="16" t="n">
        <f aca="false">SUMIFS(AP$10:AP$23, $A$10:$A$23,$A113, $C$10:$C$23, "$ Actual")/AP$89</f>
        <v>0</v>
      </c>
      <c r="AQ113" s="16" t="n">
        <f aca="false">SUMIFS(AQ$10:AQ$23, $A$10:$A$23,$A113, $C$10:$C$23, "$ Actual")/AQ$89</f>
        <v>0</v>
      </c>
      <c r="AR113" s="16" t="n">
        <f aca="false">SUMIFS(AR$10:AR$23, $A$10:$A$23,$A113, $C$10:$C$23, "$ Actual")/AR$89</f>
        <v>0</v>
      </c>
      <c r="AS113" s="16" t="n">
        <f aca="false">SUMIFS(AS$10:AS$23, $A$10:$A$23,$A113, $C$10:$C$23, "$ Actual")/AS$89</f>
        <v>0.0267880224714453</v>
      </c>
      <c r="AT113" s="16" t="n">
        <f aca="false">SUMIFS(AT$10:AT$23, $A$10:$A$23,$A113, $C$10:$C$23, "$ Actual")/AT$89</f>
        <v>0.0632995511828498</v>
      </c>
      <c r="AU113" s="16" t="n">
        <f aca="false">SUMIFS(AU$10:AU$23, $A$10:$A$23,$A113, $C$10:$C$23, "$ Actual")/AU$89</f>
        <v>0.0478127021521555</v>
      </c>
      <c r="AV113" s="16" t="n">
        <f aca="false">SUMIFS(AV$10:AV$23, $A$10:$A$23,$A113, $C$10:$C$23, "$ Actual")/AV$89</f>
        <v>0.0325656798992545</v>
      </c>
      <c r="AW113" s="16" t="n">
        <f aca="false">SUMIFS(AW$10:AW$23, $A$10:$A$23,$A113, $C$10:$C$23, "$ Actual")/AW$89</f>
        <v>0</v>
      </c>
      <c r="AX113" s="16"/>
      <c r="AY113" s="16" t="n">
        <f aca="false">SUMIFS(AY$10:AY$23, $A$10:$A$23,$A113, $C$10:$C$23, "$ Actual")/AY$89</f>
        <v>0.00550219876978871</v>
      </c>
      <c r="AZ113" s="16" t="n">
        <f aca="false">SUMIFS(AZ$10:AZ$23, $A$10:$A$23,$A113, $C$10:$C$23, "$ Actual")/AZ$89</f>
        <v>0.00327964284482305</v>
      </c>
      <c r="BA113" s="16" t="n">
        <f aca="false">SUMIFS(BA$10:BA$23, $A$10:$A$23,$A113, $C$10:$C$23, "$ Actual")/BA$89</f>
        <v>0.000518751697308417</v>
      </c>
      <c r="BB113" s="16" t="n">
        <f aca="false">SUMIFS(BB$10:BB$23, $A$10:$A$23,$A113, $C$10:$C$23, "$ Actual")/BB$89</f>
        <v>0</v>
      </c>
      <c r="BC113" s="16" t="n">
        <f aca="false">SUMIFS(BC$10:BC$23, $A$10:$A$23,$A113, $C$10:$C$23, "$ Actual")/BC$89</f>
        <v>0.00388177423854419</v>
      </c>
      <c r="BD113" s="16"/>
      <c r="BE113" s="16" t="n">
        <f aca="false">SUMIFS(BE$10:BE$23, $A$10:$A$23,$A113, $C$10:$C$23, "$ Actual")/BE$89</f>
        <v>0.00323888586235486</v>
      </c>
    </row>
    <row r="114" customFormat="false" ht="12.75" hidden="false" customHeight="true" outlineLevel="0" collapsed="false">
      <c r="A114" s="1" t="s">
        <v>59</v>
      </c>
      <c r="B114" s="1" t="n">
        <v>2025</v>
      </c>
      <c r="C114" s="17" t="s">
        <v>82</v>
      </c>
      <c r="D114" s="16" t="n">
        <f aca="false">SUMIFS(D$10:D$23, $A$10:$A$23,$A114, $C$10:$C$23, "$ Actual")/D$89</f>
        <v>0</v>
      </c>
      <c r="E114" s="16" t="n">
        <f aca="false">SUMIFS(E$10:E$23, $A$10:$A$23,$A114, $C$10:$C$23, "$ Actual")/E$89</f>
        <v>0.395664861026347</v>
      </c>
      <c r="F114" s="16" t="n">
        <f aca="false">SUMIFS(F$10:F$23, $A$10:$A$23,$A114, $C$10:$C$23, "$ Actual")/F$89</f>
        <v>0.265387855734104</v>
      </c>
      <c r="G114" s="16" t="n">
        <f aca="false">SUMIFS(G$10:G$23, $A$10:$A$23,$A114, $C$10:$C$23, "$ Actual")/G$89</f>
        <v>0.310998452390084</v>
      </c>
      <c r="H114" s="16" t="n">
        <f aca="false">SUMIFS(H$10:H$23, $A$10:$A$23,$A114, $C$10:$C$23, "$ Actual")/H$89</f>
        <v>0.287474504619202</v>
      </c>
      <c r="I114" s="16" t="n">
        <f aca="false">SUMIFS(I$10:I$23, $A$10:$A$23,$A114, $C$10:$C$23, "$ Actual")/I$89</f>
        <v>0.327508643783736</v>
      </c>
      <c r="J114" s="16" t="n">
        <f aca="false">SUMIFS(J$10:J$23, $A$10:$A$23,$A114, $C$10:$C$23, "$ Actual")/J$89</f>
        <v>0.316319585723984</v>
      </c>
      <c r="K114" s="16" t="n">
        <f aca="false">SUMIFS(K$10:K$23, $A$10:$A$23,$A114, $C$10:$C$23, "$ Actual")/K$89</f>
        <v>0.346235747577952</v>
      </c>
      <c r="L114" s="16" t="n">
        <f aca="false">SUMIFS(L$10:L$23, $A$10:$A$23,$A114, $C$10:$C$23, "$ Actual")/L$89</f>
        <v>0.363460593333909</v>
      </c>
      <c r="M114" s="16" t="n">
        <f aca="false">SUMIFS(M$10:M$23, $A$10:$A$23,$A114, $C$10:$C$23, "$ Actual")/M$89</f>
        <v>0.458328441916286</v>
      </c>
      <c r="N114" s="16"/>
      <c r="O114" s="16" t="n">
        <f aca="false">SUMIFS(O$10:O$23, $A$10:$A$23,$A114, $C$10:$C$23, "$ Actual")/O$89</f>
        <v>0.320605441340857</v>
      </c>
      <c r="P114" s="16" t="n">
        <f aca="false">SUMIFS(P$10:P$23, $A$10:$A$23,$A114, $C$10:$C$23, "$ Actual")/P$89</f>
        <v>0.264989883611647</v>
      </c>
      <c r="Q114" s="16" t="n">
        <f aca="false">SUMIFS(Q$10:Q$23, $A$10:$A$23,$A114, $C$10:$C$23, "$ Actual")/Q$89</f>
        <v>0.243416074063879</v>
      </c>
      <c r="R114" s="16" t="n">
        <f aca="false">SUMIFS(R$10:R$23, $A$10:$A$23,$A114, $C$10:$C$23, "$ Actual")/R$89</f>
        <v>0.310792850854265</v>
      </c>
      <c r="S114" s="16" t="n">
        <f aca="false">SUMIFS(S$10:S$23, $A$10:$A$23,$A114, $C$10:$C$23, "$ Actual")/S$89</f>
        <v>0.267060005656213</v>
      </c>
      <c r="T114" s="16" t="n">
        <f aca="false">SUMIFS(T$10:T$23, $A$10:$A$23,$A114, $C$10:$C$23, "$ Actual")/T$89</f>
        <v>0.363486191567072</v>
      </c>
      <c r="U114" s="16" t="n">
        <f aca="false">SUMIFS(U$10:U$23, $A$10:$A$23,$A114, $C$10:$C$23, "$ Actual")/U$89</f>
        <v>0.307997776384449</v>
      </c>
      <c r="V114" s="16" t="n">
        <f aca="false">SUMIFS(V$10:V$23, $A$10:$A$23,$A114, $C$10:$C$23, "$ Actual")/V$89</f>
        <v>0.250685543545592</v>
      </c>
      <c r="W114" s="16" t="n">
        <f aca="false">SUMIFS(W$10:W$23, $A$10:$A$23,$A114, $C$10:$C$23, "$ Actual")/W$89</f>
        <v>0.257936001134896</v>
      </c>
      <c r="X114" s="16" t="n">
        <f aca="false">SUMIFS(X$10:X$23, $A$10:$A$23,$A114, $C$10:$C$23, "$ Actual")/X$89</f>
        <v>0.379730796470921</v>
      </c>
      <c r="Y114" s="16" t="n">
        <f aca="false">SUMIFS(Y$10:Y$23, $A$10:$A$23,$A114, $C$10:$C$23, "$ Actual")/Y$89</f>
        <v>0.513682202162566</v>
      </c>
      <c r="Z114" s="16"/>
      <c r="AA114" s="16" t="n">
        <f aca="false">SUMIFS(AA$10:AA$23, $A$10:$A$23,$A114, $C$10:$C$23, "$ Actual")/AA$89</f>
        <v>0.248815844835018</v>
      </c>
      <c r="AB114" s="16" t="n">
        <f aca="false">SUMIFS(AB$10:AB$23, $A$10:$A$23,$A114, $C$10:$C$23, "$ Actual")/AB$89</f>
        <v>0.343702558793982</v>
      </c>
      <c r="AC114" s="16"/>
      <c r="AD114" s="16" t="n">
        <f aca="false">SUMIFS(AD$10:AD$23, $A$10:$A$23,$A114, $C$10:$C$23, "$ Actual")/AD$89</f>
        <v>0.391045377355948</v>
      </c>
      <c r="AE114" s="16" t="n">
        <f aca="false">SUMIFS(AE$10:AE$23, $A$10:$A$23,$A114, $C$10:$C$23, "$ Actual")/AE$89</f>
        <v>0.337878341246782</v>
      </c>
      <c r="AF114" s="16" t="e">
        <f aca="false">SUMIFS(AF$10:AF$23, $A$10:$A$23,$A114, $C$10:$C$23, "$ Actual")/AF$89</f>
        <v>#DIV/0!</v>
      </c>
      <c r="AG114" s="16" t="n">
        <f aca="false">SUMIFS(AG$10:AG$23, $A$10:$A$23,$A114, $C$10:$C$23, "$ Actual")/AG$89</f>
        <v>0.274170345569144</v>
      </c>
      <c r="AH114" s="16" t="n">
        <f aca="false">SUMIFS(AH$10:AH$23, $A$10:$A$23,$A114, $C$10:$C$23, "$ Actual")/AH$89</f>
        <v>0.262427367665589</v>
      </c>
      <c r="AI114" s="16" t="n">
        <f aca="false">SUMIFS(AI$10:AI$23, $A$10:$A$23,$A114, $C$10:$C$23, "$ Actual")/AI$89</f>
        <v>0.270032577300027</v>
      </c>
      <c r="AJ114" s="16" t="n">
        <f aca="false">SUMIFS(AJ$10:AJ$23, $A$10:$A$23,$A114, $C$10:$C$23, "$ Actual")/AJ$89</f>
        <v>0.282543213811822</v>
      </c>
      <c r="AK114" s="16"/>
      <c r="AL114" s="16" t="n">
        <f aca="false">SUMIFS(AL$10:AL$23, $A$10:$A$23,$A114, $C$10:$C$23, "$ Actual")/AL$89</f>
        <v>0.398315890056721</v>
      </c>
      <c r="AM114" s="16" t="n">
        <f aca="false">SUMIFS(AM$10:AM$23, $A$10:$A$23,$A114, $C$10:$C$23, "$ Actual")/AM$89</f>
        <v>0.699529255452151</v>
      </c>
      <c r="AN114" s="16" t="n">
        <f aca="false">SUMIFS(AN$10:AN$23, $A$10:$A$23,$A114, $C$10:$C$23, "$ Actual")/AN$89</f>
        <v>0.29657856012286</v>
      </c>
      <c r="AO114" s="16" t="n">
        <f aca="false">SUMIFS(AO$10:AO$23, $A$10:$A$23,$A114, $C$10:$C$23, "$ Actual")/AO$89</f>
        <v>0.249282204341481</v>
      </c>
      <c r="AP114" s="16" t="n">
        <f aca="false">SUMIFS(AP$10:AP$23, $A$10:$A$23,$A114, $C$10:$C$23, "$ Actual")/AP$89</f>
        <v>0.323276554223947</v>
      </c>
      <c r="AQ114" s="16" t="n">
        <f aca="false">SUMIFS(AQ$10:AQ$23, $A$10:$A$23,$A114, $C$10:$C$23, "$ Actual")/AQ$89</f>
        <v>0.357663970394582</v>
      </c>
      <c r="AR114" s="16" t="n">
        <f aca="false">SUMIFS(AR$10:AR$23, $A$10:$A$23,$A114, $C$10:$C$23, "$ Actual")/AR$89</f>
        <v>0.204745662716626</v>
      </c>
      <c r="AS114" s="16" t="n">
        <f aca="false">SUMIFS(AS$10:AS$23, $A$10:$A$23,$A114, $C$10:$C$23, "$ Actual")/AS$89</f>
        <v>0.635564038379679</v>
      </c>
      <c r="AT114" s="16" t="n">
        <f aca="false">SUMIFS(AT$10:AT$23, $A$10:$A$23,$A114, $C$10:$C$23, "$ Actual")/AT$89</f>
        <v>0.381725165291703</v>
      </c>
      <c r="AU114" s="16" t="n">
        <f aca="false">SUMIFS(AU$10:AU$23, $A$10:$A$23,$A114, $C$10:$C$23, "$ Actual")/AU$89</f>
        <v>0.40909371354771</v>
      </c>
      <c r="AV114" s="16" t="n">
        <f aca="false">SUMIFS(AV$10:AV$23, $A$10:$A$23,$A114, $C$10:$C$23, "$ Actual")/AV$89</f>
        <v>0.892186578050408</v>
      </c>
      <c r="AW114" s="16" t="n">
        <f aca="false">SUMIFS(AW$10:AW$23, $A$10:$A$23,$A114, $C$10:$C$23, "$ Actual")/AW$89</f>
        <v>1</v>
      </c>
      <c r="AX114" s="16"/>
      <c r="AY114" s="16" t="n">
        <f aca="false">SUMIFS(AY$10:AY$23, $A$10:$A$23,$A114, $C$10:$C$23, "$ Actual")/AY$89</f>
        <v>0.35727736391991</v>
      </c>
      <c r="AZ114" s="16" t="n">
        <f aca="false">SUMIFS(AZ$10:AZ$23, $A$10:$A$23,$A114, $C$10:$C$23, "$ Actual")/AZ$89</f>
        <v>0.302943495534822</v>
      </c>
      <c r="BA114" s="16" t="n">
        <f aca="false">SUMIFS(BA$10:BA$23, $A$10:$A$23,$A114, $C$10:$C$23, "$ Actual")/BA$89</f>
        <v>0.288717155724854</v>
      </c>
      <c r="BB114" s="16" t="n">
        <f aca="false">SUMIFS(BB$10:BB$23, $A$10:$A$23,$A114, $C$10:$C$23, "$ Actual")/BB$89</f>
        <v>0.308415171364694</v>
      </c>
      <c r="BC114" s="16" t="n">
        <f aca="false">SUMIFS(BC$10:BC$23, $A$10:$A$23,$A114, $C$10:$C$23, "$ Actual")/BC$89</f>
        <v>0.305679699987039</v>
      </c>
      <c r="BD114" s="16"/>
      <c r="BE114" s="16" t="n">
        <f aca="false">SUMIFS(BE$10:BE$23, $A$10:$A$23,$A114, $C$10:$C$23, "$ Actual")/BE$89</f>
        <v>0.314034485470665</v>
      </c>
    </row>
    <row r="115" customFormat="false" ht="12.75" hidden="false" customHeight="true" outlineLevel="0" collapsed="false">
      <c r="C115" s="17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customFormat="false" ht="12.75" hidden="false" customHeight="true" outlineLevel="0" collapsed="false">
      <c r="A116" s="1" t="s">
        <v>83</v>
      </c>
      <c r="B116" s="1" t="n">
        <v>2025</v>
      </c>
      <c r="C116" s="17" t="s">
        <v>84</v>
      </c>
      <c r="D116" s="18" t="n">
        <f aca="false">D11/260000</f>
        <v>4.32230803846154</v>
      </c>
      <c r="E116" s="18" t="n">
        <f aca="false">E11/260000</f>
        <v>1.566</v>
      </c>
      <c r="F116" s="18" t="n">
        <f aca="false">F11/260000</f>
        <v>4.29693703846154</v>
      </c>
      <c r="G116" s="18" t="n">
        <f aca="false">G11/260000</f>
        <v>3.19600438461538</v>
      </c>
      <c r="H116" s="18" t="n">
        <f aca="false">H11/260000</f>
        <v>3.12579538461539</v>
      </c>
      <c r="I116" s="18" t="n">
        <f aca="false">I11/260000</f>
        <v>7.26647980769231</v>
      </c>
      <c r="J116" s="18" t="n">
        <f aca="false">J11/260000</f>
        <v>6.15556303846154</v>
      </c>
      <c r="K116" s="18" t="n">
        <f aca="false">K11/260000</f>
        <v>1.13663919230769</v>
      </c>
      <c r="L116" s="18" t="n">
        <f aca="false">L11/260000</f>
        <v>0.545261884615385</v>
      </c>
      <c r="M116" s="18" t="n">
        <f aca="false">M11/260000</f>
        <v>0.281295076923077</v>
      </c>
      <c r="N116" s="18"/>
      <c r="O116" s="18" t="n">
        <f aca="false">O11/260000</f>
        <v>7.53434888461538</v>
      </c>
      <c r="P116" s="18" t="n">
        <f aca="false">P11/260000</f>
        <v>2.09777803846154</v>
      </c>
      <c r="Q116" s="18" t="n">
        <f aca="false">Q11/260000</f>
        <v>9.64615753846154</v>
      </c>
      <c r="R116" s="18" t="n">
        <f aca="false">R11/260000</f>
        <v>0</v>
      </c>
      <c r="S116" s="18" t="n">
        <f aca="false">S11/260000</f>
        <v>2.57375019230769</v>
      </c>
      <c r="T116" s="18" t="n">
        <f aca="false">T11/260000</f>
        <v>2.68881696153846</v>
      </c>
      <c r="U116" s="18" t="n">
        <f aca="false">U11/260000</f>
        <v>1.45785073076923</v>
      </c>
      <c r="V116" s="18" t="n">
        <f aca="false">V11/260000</f>
        <v>4.58962823076923</v>
      </c>
      <c r="W116" s="18" t="n">
        <f aca="false">W11/260000</f>
        <v>3.29572034615385</v>
      </c>
      <c r="X116" s="18" t="n">
        <f aca="false">X11/260000</f>
        <v>0.237820576923077</v>
      </c>
      <c r="Y116" s="18" t="n">
        <f aca="false">Y11/260000</f>
        <v>0.0402481923076923</v>
      </c>
      <c r="Z116" s="18"/>
      <c r="AA116" s="18" t="n">
        <f aca="false">AA11/260000</f>
        <v>1.31552307692308</v>
      </c>
      <c r="AB116" s="18" t="n">
        <f aca="false">AB11/260000</f>
        <v>1.15457307692308</v>
      </c>
      <c r="AC116" s="18"/>
      <c r="AD116" s="18" t="n">
        <f aca="false">AD11/260000</f>
        <v>7.64378461538462</v>
      </c>
      <c r="AE116" s="18" t="n">
        <f aca="false">AE11/260000</f>
        <v>5.58640384615385</v>
      </c>
      <c r="AF116" s="18" t="n">
        <f aca="false">AF11/260000</f>
        <v>0</v>
      </c>
      <c r="AG116" s="18" t="n">
        <f aca="false">AG11/260000</f>
        <v>5.60553461538462</v>
      </c>
      <c r="AH116" s="18" t="n">
        <f aca="false">AH11/260000</f>
        <v>8.60911538461538</v>
      </c>
      <c r="AI116" s="18" t="n">
        <f aca="false">AI11/260000</f>
        <v>4.81003846153846</v>
      </c>
      <c r="AJ116" s="18" t="n">
        <f aca="false">AJ11/260000</f>
        <v>5.29288076923077</v>
      </c>
      <c r="AK116" s="18"/>
      <c r="AL116" s="18" t="n">
        <f aca="false">AL11/260000</f>
        <v>5.07797534615385</v>
      </c>
      <c r="AM116" s="18" t="n">
        <f aca="false">AM11/260000</f>
        <v>0.269230769230769</v>
      </c>
      <c r="AN116" s="18" t="n">
        <f aca="false">AN11/260000</f>
        <v>7.53737480769231</v>
      </c>
      <c r="AO116" s="18" t="n">
        <f aca="false">AO11/260000</f>
        <v>18.7501117307692</v>
      </c>
      <c r="AP116" s="18" t="n">
        <f aca="false">AP11/260000</f>
        <v>4.62844538461539</v>
      </c>
      <c r="AQ116" s="18" t="n">
        <f aca="false">AQ11/260000</f>
        <v>3.35354296153846</v>
      </c>
      <c r="AR116" s="18" t="n">
        <f aca="false">AR11/260000</f>
        <v>8.13649357692308</v>
      </c>
      <c r="AS116" s="18" t="n">
        <f aca="false">AS11/260000</f>
        <v>0</v>
      </c>
      <c r="AT116" s="18" t="n">
        <f aca="false">AT11/260000</f>
        <v>0.924430230769231</v>
      </c>
      <c r="AU116" s="18" t="n">
        <f aca="false">AU11/260000</f>
        <v>0.314271923076923</v>
      </c>
      <c r="AV116" s="18" t="n">
        <f aca="false">AV11/260000</f>
        <v>0.378464538461538</v>
      </c>
      <c r="AW116" s="18" t="n">
        <f aca="false">AW11/260000</f>
        <v>0</v>
      </c>
      <c r="AX116" s="16"/>
      <c r="AY116" s="18" t="n">
        <f aca="false">AY11/260000</f>
        <v>49.3703412692308</v>
      </c>
      <c r="AZ116" s="18" t="n">
        <f aca="false">AZ11/260000</f>
        <v>31.8922838461538</v>
      </c>
      <c r="BA116" s="18" t="n">
        <f aca="false">BA11/260000</f>
        <v>34.1621196923077</v>
      </c>
      <c r="BB116" s="18" t="n">
        <f aca="false">BB11/260000</f>
        <v>2.47009615384615</v>
      </c>
      <c r="BC116" s="18" t="n">
        <f aca="false">BC11/260000</f>
        <v>37.5477576923077</v>
      </c>
      <c r="BD116" s="16"/>
      <c r="BE116" s="18" t="n">
        <f aca="false">BE11/260000</f>
        <v>155.442598653846</v>
      </c>
    </row>
    <row r="117" customFormat="false" ht="12.75" hidden="false" customHeight="true" outlineLevel="0" collapsed="false">
      <c r="A117" s="1" t="s">
        <v>85</v>
      </c>
      <c r="B117" s="1" t="n">
        <v>2025</v>
      </c>
      <c r="C117" s="17" t="s">
        <v>84</v>
      </c>
      <c r="D117" s="18" t="n">
        <f aca="false">D13/160000</f>
        <v>3.9314790625</v>
      </c>
      <c r="E117" s="18" t="n">
        <f aca="false">E13/160000</f>
        <v>0</v>
      </c>
      <c r="F117" s="18" t="n">
        <f aca="false">F13/160000</f>
        <v>0</v>
      </c>
      <c r="G117" s="18" t="n">
        <f aca="false">G13/160000</f>
        <v>5.6404535625</v>
      </c>
      <c r="H117" s="18" t="n">
        <f aca="false">H13/160000</f>
        <v>5.23953775</v>
      </c>
      <c r="I117" s="18" t="n">
        <f aca="false">I13/160000</f>
        <v>5.345906375</v>
      </c>
      <c r="J117" s="18" t="n">
        <f aca="false">J13/160000</f>
        <v>3.9211723125</v>
      </c>
      <c r="K117" s="18" t="n">
        <f aca="false">K13/160000</f>
        <v>0</v>
      </c>
      <c r="L117" s="18" t="n">
        <f aca="false">L13/160000</f>
        <v>0.6682406875</v>
      </c>
      <c r="M117" s="18" t="n">
        <f aca="false">M13/160000</f>
        <v>1.5093845</v>
      </c>
      <c r="N117" s="18"/>
      <c r="O117" s="18" t="n">
        <f aca="false">O13/160000</f>
        <v>0.301382</v>
      </c>
      <c r="P117" s="18" t="n">
        <f aca="false">P13/160000</f>
        <v>2.4029114375</v>
      </c>
      <c r="Q117" s="18" t="n">
        <f aca="false">Q13/160000</f>
        <v>2.515985875</v>
      </c>
      <c r="R117" s="18" t="n">
        <f aca="false">R13/160000</f>
        <v>0.4438288125</v>
      </c>
      <c r="S117" s="18" t="n">
        <f aca="false">S13/160000</f>
        <v>3.168262</v>
      </c>
      <c r="T117" s="18" t="n">
        <f aca="false">T13/160000</f>
        <v>1.981210375</v>
      </c>
      <c r="U117" s="18" t="n">
        <f aca="false">U13/160000</f>
        <v>2.286690625</v>
      </c>
      <c r="V117" s="18" t="n">
        <f aca="false">V13/160000</f>
        <v>0</v>
      </c>
      <c r="W117" s="18" t="n">
        <f aca="false">W13/160000</f>
        <v>5.5635905</v>
      </c>
      <c r="X117" s="18" t="n">
        <f aca="false">X13/160000</f>
        <v>0.871695375</v>
      </c>
      <c r="Y117" s="18" t="n">
        <f aca="false">Y13/160000</f>
        <v>0.2340674375</v>
      </c>
      <c r="Z117" s="18"/>
      <c r="AA117" s="18" t="n">
        <f aca="false">AA13/160000</f>
        <v>1.5554125</v>
      </c>
      <c r="AB117" s="18" t="n">
        <f aca="false">AB13/160000</f>
        <v>0</v>
      </c>
      <c r="AC117" s="18"/>
      <c r="AD117" s="18" t="n">
        <f aca="false">AD13/160000</f>
        <v>5.39685625</v>
      </c>
      <c r="AE117" s="18" t="n">
        <f aca="false">AE13/160000</f>
        <v>6.27046875</v>
      </c>
      <c r="AF117" s="18" t="n">
        <f aca="false">AF13/160000</f>
        <v>0</v>
      </c>
      <c r="AG117" s="18" t="n">
        <f aca="false">AG13/160000</f>
        <v>4.96104375</v>
      </c>
      <c r="AH117" s="18" t="n">
        <f aca="false">AH13/160000</f>
        <v>6.51865625</v>
      </c>
      <c r="AI117" s="18" t="n">
        <f aca="false">AI13/160000</f>
        <v>6.0861625</v>
      </c>
      <c r="AJ117" s="18" t="n">
        <f aca="false">AJ13/160000</f>
        <v>3.6313125</v>
      </c>
      <c r="AK117" s="18"/>
      <c r="AL117" s="18" t="n">
        <f aca="false">AL13/160000</f>
        <v>1.1135375</v>
      </c>
      <c r="AM117" s="18" t="n">
        <f aca="false">AM13/160000</f>
        <v>0.462402125</v>
      </c>
      <c r="AN117" s="18" t="n">
        <f aca="false">AN13/160000</f>
        <v>0</v>
      </c>
      <c r="AO117" s="18" t="n">
        <f aca="false">AO13/160000</f>
        <v>0</v>
      </c>
      <c r="AP117" s="18" t="n">
        <f aca="false">AP13/160000</f>
        <v>0.9838159375</v>
      </c>
      <c r="AQ117" s="18" t="n">
        <f aca="false">AQ13/160000</f>
        <v>0.5099629375</v>
      </c>
      <c r="AR117" s="18" t="n">
        <f aca="false">AR13/160000</f>
        <v>4.8089525625</v>
      </c>
      <c r="AS117" s="18" t="n">
        <f aca="false">AS13/160000</f>
        <v>0</v>
      </c>
      <c r="AT117" s="18" t="n">
        <f aca="false">AT13/160000</f>
        <v>0</v>
      </c>
      <c r="AU117" s="18" t="n">
        <f aca="false">AU13/160000</f>
        <v>0.6111164375</v>
      </c>
      <c r="AV117" s="18" t="n">
        <f aca="false">AV13/160000</f>
        <v>0</v>
      </c>
      <c r="AW117" s="18" t="n">
        <f aca="false">AW13/160000</f>
        <v>0</v>
      </c>
      <c r="AX117" s="16"/>
      <c r="AY117" s="18" t="n">
        <f aca="false">AY13/160000</f>
        <v>8.4897875</v>
      </c>
      <c r="AZ117" s="18" t="n">
        <f aca="false">AZ13/160000</f>
        <v>26.25617425</v>
      </c>
      <c r="BA117" s="18" t="n">
        <f aca="false">BA13/160000</f>
        <v>19.7696244375</v>
      </c>
      <c r="BB117" s="18" t="n">
        <f aca="false">BB13/160000</f>
        <v>1.5554125</v>
      </c>
      <c r="BC117" s="18" t="n">
        <f aca="false">BC13/160000</f>
        <v>32.8645</v>
      </c>
      <c r="BD117" s="16"/>
      <c r="BE117" s="18" t="n">
        <f aca="false">BE13/160000</f>
        <v>88.9354986875</v>
      </c>
    </row>
    <row r="118" customFormat="false" ht="12.75" hidden="false" customHeight="true" outlineLevel="0" collapsed="false">
      <c r="A118" s="1" t="s">
        <v>86</v>
      </c>
      <c r="B118" s="1" t="n">
        <v>2025</v>
      </c>
      <c r="C118" s="17" t="s">
        <v>84</v>
      </c>
      <c r="D118" s="18" t="n">
        <f aca="false">D116+D117</f>
        <v>8.25378710096154</v>
      </c>
      <c r="E118" s="18" t="n">
        <f aca="false">E116+E117</f>
        <v>1.566</v>
      </c>
      <c r="F118" s="18" t="n">
        <f aca="false">F116+F117</f>
        <v>4.29693703846154</v>
      </c>
      <c r="G118" s="18" t="n">
        <f aca="false">G116+G117</f>
        <v>8.83645794711539</v>
      </c>
      <c r="H118" s="18" t="n">
        <f aca="false">H116+H117</f>
        <v>8.36533313461539</v>
      </c>
      <c r="I118" s="18" t="n">
        <f aca="false">I116+I117</f>
        <v>12.6123861826923</v>
      </c>
      <c r="J118" s="18" t="n">
        <f aca="false">J116+J117</f>
        <v>10.0767353509615</v>
      </c>
      <c r="K118" s="18" t="n">
        <f aca="false">K116+K117</f>
        <v>1.13663919230769</v>
      </c>
      <c r="L118" s="18" t="n">
        <f aca="false">L116+L117</f>
        <v>1.21350257211538</v>
      </c>
      <c r="M118" s="18" t="n">
        <f aca="false">M116+M117</f>
        <v>1.79067957692308</v>
      </c>
      <c r="N118" s="18"/>
      <c r="O118" s="18" t="n">
        <f aca="false">O116+O117</f>
        <v>7.83573088461538</v>
      </c>
      <c r="P118" s="18" t="n">
        <f aca="false">P116+P117</f>
        <v>4.50068947596154</v>
      </c>
      <c r="Q118" s="18" t="n">
        <f aca="false">Q116+Q117</f>
        <v>12.1621434134615</v>
      </c>
      <c r="R118" s="18" t="n">
        <f aca="false">R116+R117</f>
        <v>0.4438288125</v>
      </c>
      <c r="S118" s="18" t="n">
        <f aca="false">S116+S117</f>
        <v>5.74201219230769</v>
      </c>
      <c r="T118" s="18" t="n">
        <f aca="false">T116+T117</f>
        <v>4.67002733653846</v>
      </c>
      <c r="U118" s="18" t="n">
        <f aca="false">U116+U117</f>
        <v>3.74454135576923</v>
      </c>
      <c r="V118" s="18" t="n">
        <f aca="false">V116+V117</f>
        <v>4.58962823076923</v>
      </c>
      <c r="W118" s="18" t="n">
        <f aca="false">W116+W117</f>
        <v>8.85931084615385</v>
      </c>
      <c r="X118" s="18" t="n">
        <f aca="false">X116+X117</f>
        <v>1.10951595192308</v>
      </c>
      <c r="Y118" s="18" t="n">
        <f aca="false">Y116+Y117</f>
        <v>0.274315629807692</v>
      </c>
      <c r="Z118" s="18"/>
      <c r="AA118" s="18" t="n">
        <f aca="false">AA116+AA117</f>
        <v>2.87093557692308</v>
      </c>
      <c r="AB118" s="18" t="n">
        <f aca="false">AB116+AB117</f>
        <v>1.15457307692308</v>
      </c>
      <c r="AC118" s="18"/>
      <c r="AD118" s="18" t="n">
        <f aca="false">AD116+AD117</f>
        <v>13.0406408653846</v>
      </c>
      <c r="AE118" s="18" t="n">
        <f aca="false">AE116+AE117</f>
        <v>11.8568725961538</v>
      </c>
      <c r="AF118" s="18" t="n">
        <f aca="false">AF116+AF117</f>
        <v>0</v>
      </c>
      <c r="AG118" s="18" t="n">
        <f aca="false">AG116+AG117</f>
        <v>10.5665783653846</v>
      </c>
      <c r="AH118" s="18" t="n">
        <f aca="false">AH116+AH117</f>
        <v>15.1277716346154</v>
      </c>
      <c r="AI118" s="18" t="n">
        <f aca="false">AI116+AI117</f>
        <v>10.8962009615385</v>
      </c>
      <c r="AJ118" s="18" t="n">
        <f aca="false">AJ116+AJ117</f>
        <v>8.92419326923077</v>
      </c>
      <c r="AK118" s="18"/>
      <c r="AL118" s="18" t="n">
        <f aca="false">AL116+AL117</f>
        <v>6.19151284615385</v>
      </c>
      <c r="AM118" s="18" t="n">
        <f aca="false">AM116+AM117</f>
        <v>0.731632894230769</v>
      </c>
      <c r="AN118" s="18" t="n">
        <f aca="false">AN116+AN117</f>
        <v>7.53737480769231</v>
      </c>
      <c r="AO118" s="18" t="n">
        <f aca="false">AO116+AO117</f>
        <v>18.7501117307692</v>
      </c>
      <c r="AP118" s="18" t="n">
        <f aca="false">AP116+AP117</f>
        <v>5.61226132211539</v>
      </c>
      <c r="AQ118" s="18" t="n">
        <f aca="false">AQ116+AQ117</f>
        <v>3.86350589903846</v>
      </c>
      <c r="AR118" s="18" t="n">
        <f aca="false">AR116+AR117</f>
        <v>12.9454461394231</v>
      </c>
      <c r="AS118" s="18" t="n">
        <f aca="false">AS116+AS117</f>
        <v>0</v>
      </c>
      <c r="AT118" s="18" t="n">
        <f aca="false">AT116+AT117</f>
        <v>0.924430230769231</v>
      </c>
      <c r="AU118" s="18" t="n">
        <f aca="false">AU116+AU117</f>
        <v>0.925388360576923</v>
      </c>
      <c r="AV118" s="18" t="n">
        <f aca="false">AV116+AV117</f>
        <v>0.378464538461538</v>
      </c>
      <c r="AW118" s="18" t="n">
        <f aca="false">AW116+AW117</f>
        <v>0</v>
      </c>
      <c r="AX118" s="18"/>
      <c r="AY118" s="18" t="n">
        <f aca="false">AY116+AY117</f>
        <v>57.8601287692308</v>
      </c>
      <c r="AZ118" s="18" t="n">
        <f aca="false">AZ116+AZ117</f>
        <v>58.1484580961538</v>
      </c>
      <c r="BA118" s="18" t="n">
        <f aca="false">BA116+BA117</f>
        <v>53.9317441298077</v>
      </c>
      <c r="BB118" s="18" t="n">
        <f aca="false">BB116+BB117</f>
        <v>4.02550865384615</v>
      </c>
      <c r="BC118" s="18" t="n">
        <f aca="false">BC116+BC117</f>
        <v>70.4122576923077</v>
      </c>
      <c r="BD118" s="18"/>
      <c r="BE118" s="18" t="n">
        <f aca="false">BE116+BE117</f>
        <v>244.378097341346</v>
      </c>
    </row>
    <row r="119" customFormat="false" ht="12.75" hidden="false" customHeight="true" outlineLevel="0" collapsed="false">
      <c r="A119" s="1" t="s">
        <v>87</v>
      </c>
      <c r="B119" s="1" t="n">
        <v>2025</v>
      </c>
      <c r="C119" s="17" t="s">
        <v>84</v>
      </c>
      <c r="D119" s="18" t="n">
        <f aca="false">D15/100000</f>
        <v>16.6572104</v>
      </c>
      <c r="E119" s="18" t="n">
        <f aca="false">E15/100000</f>
        <v>8.7582835</v>
      </c>
      <c r="F119" s="18" t="n">
        <f aca="false">F15/100000</f>
        <v>13.6776411</v>
      </c>
      <c r="G119" s="18" t="n">
        <f aca="false">G15/100000</f>
        <v>11.36683</v>
      </c>
      <c r="H119" s="18" t="n">
        <f aca="false">H15/100000</f>
        <v>12.2179563</v>
      </c>
      <c r="I119" s="18" t="n">
        <f aca="false">I15/100000</f>
        <v>13.2864562</v>
      </c>
      <c r="J119" s="18" t="n">
        <f aca="false">J15/100000</f>
        <v>18.7240945</v>
      </c>
      <c r="K119" s="18" t="n">
        <f aca="false">K15/100000</f>
        <v>7.3663287</v>
      </c>
      <c r="L119" s="18" t="n">
        <f aca="false">L15/100000</f>
        <v>7.7629209</v>
      </c>
      <c r="M119" s="18" t="n">
        <f aca="false">M15/100000</f>
        <v>15.6984563</v>
      </c>
      <c r="N119" s="18"/>
      <c r="O119" s="18" t="n">
        <f aca="false">O15/100000</f>
        <v>9.8492641</v>
      </c>
      <c r="P119" s="18" t="n">
        <f aca="false">P15/100000</f>
        <v>16.5758073</v>
      </c>
      <c r="Q119" s="18" t="n">
        <f aca="false">Q15/100000</f>
        <v>19.3496853</v>
      </c>
      <c r="R119" s="18" t="n">
        <f aca="false">R15/100000</f>
        <v>7.2071711</v>
      </c>
      <c r="S119" s="18" t="n">
        <f aca="false">S15/100000</f>
        <v>14.2656906</v>
      </c>
      <c r="T119" s="18" t="n">
        <f aca="false">T15/100000</f>
        <v>8.6189104</v>
      </c>
      <c r="U119" s="18" t="n">
        <f aca="false">U15/100000</f>
        <v>15.3267319</v>
      </c>
      <c r="V119" s="18" t="n">
        <f aca="false">V15/100000</f>
        <v>11.9580454</v>
      </c>
      <c r="W119" s="18" t="n">
        <f aca="false">W15/100000</f>
        <v>20.3355815</v>
      </c>
      <c r="X119" s="18" t="n">
        <f aca="false">X15/100000</f>
        <v>7.2753936</v>
      </c>
      <c r="Y119" s="18" t="n">
        <f aca="false">Y15/100000</f>
        <v>2.2171043</v>
      </c>
      <c r="Z119" s="18"/>
      <c r="AA119" s="18" t="n">
        <f aca="false">AA15/100000</f>
        <v>1.75453</v>
      </c>
      <c r="AB119" s="18" t="n">
        <f aca="false">AB15/100000</f>
        <v>6.56167</v>
      </c>
      <c r="AC119" s="18"/>
      <c r="AD119" s="18" t="n">
        <f aca="false">AD15/100000</f>
        <v>20.28877</v>
      </c>
      <c r="AE119" s="18" t="n">
        <f aca="false">AE15/100000</f>
        <v>14.5924</v>
      </c>
      <c r="AF119" s="18" t="n">
        <f aca="false">AF15/100000</f>
        <v>0</v>
      </c>
      <c r="AG119" s="18" t="n">
        <f aca="false">AG15/100000</f>
        <v>17.04628</v>
      </c>
      <c r="AH119" s="18" t="n">
        <f aca="false">AH15/100000</f>
        <v>25.55314</v>
      </c>
      <c r="AI119" s="18" t="n">
        <f aca="false">AI15/100000</f>
        <v>16.74434</v>
      </c>
      <c r="AJ119" s="18" t="n">
        <f aca="false">AJ15/100000</f>
        <v>21.8505</v>
      </c>
      <c r="AK119" s="18"/>
      <c r="AL119" s="18" t="n">
        <f aca="false">AL15/100000</f>
        <v>10.61336</v>
      </c>
      <c r="AM119" s="18" t="n">
        <f aca="false">AM15/100000</f>
        <v>0.71434</v>
      </c>
      <c r="AN119" s="18" t="n">
        <f aca="false">AN15/100000</f>
        <v>12.49601</v>
      </c>
      <c r="AO119" s="18" t="n">
        <f aca="false">AO15/100000</f>
        <v>23.12172</v>
      </c>
      <c r="AP119" s="18" t="n">
        <f aca="false">AP15/100000</f>
        <v>12.97969</v>
      </c>
      <c r="AQ119" s="18" t="n">
        <f aca="false">AQ15/100000</f>
        <v>13.26879</v>
      </c>
      <c r="AR119" s="18" t="n">
        <f aca="false">AR15/100000</f>
        <v>16.38035</v>
      </c>
      <c r="AS119" s="18" t="n">
        <f aca="false">AS15/100000</f>
        <v>7.23892</v>
      </c>
      <c r="AT119" s="18" t="n">
        <f aca="false">AT15/100000</f>
        <v>1.63146</v>
      </c>
      <c r="AU119" s="18" t="n">
        <f aca="false">AU15/100000</f>
        <v>3.47689</v>
      </c>
      <c r="AV119" s="18" t="n">
        <f aca="false">AV15/100000</f>
        <v>0</v>
      </c>
      <c r="AW119" s="18" t="n">
        <f aca="false">AW15/100000</f>
        <v>0</v>
      </c>
      <c r="AX119" s="16"/>
      <c r="AY119" s="18" t="n">
        <f aca="false">AY15/100000</f>
        <v>101.92153</v>
      </c>
      <c r="AZ119" s="18" t="n">
        <f aca="false">AZ15/100000</f>
        <v>125.5161779</v>
      </c>
      <c r="BA119" s="18" t="n">
        <f aca="false">BA15/100000</f>
        <v>132.9793855</v>
      </c>
      <c r="BB119" s="18" t="n">
        <f aca="false">BB15/100000</f>
        <v>8.3162</v>
      </c>
      <c r="BC119" s="18" t="n">
        <f aca="false">BC15/100000</f>
        <v>116.07543</v>
      </c>
      <c r="BD119" s="16"/>
      <c r="BE119" s="18" t="n">
        <f aca="false">BE15/100000</f>
        <v>484.8087234</v>
      </c>
    </row>
    <row r="120" customFormat="false" ht="12.75" hidden="false" customHeight="true" outlineLevel="0" collapsed="false">
      <c r="A120" s="1" t="s">
        <v>88</v>
      </c>
      <c r="B120" s="1" t="n">
        <v>2025</v>
      </c>
      <c r="C120" s="17" t="s">
        <v>84</v>
      </c>
      <c r="D120" s="18" t="n">
        <f aca="false">D119/(D116+D117)</f>
        <v>2.01812939881373</v>
      </c>
      <c r="E120" s="18" t="n">
        <f aca="false">E119/(E116+E117)</f>
        <v>5.59277362707535</v>
      </c>
      <c r="F120" s="18" t="n">
        <f aca="false">F119/(F116+F117)</f>
        <v>3.18311415260976</v>
      </c>
      <c r="G120" s="18" t="n">
        <f aca="false">G119/(G116+G117)</f>
        <v>1.28635592089369</v>
      </c>
      <c r="H120" s="18" t="n">
        <f aca="false">H119/(H116+H117)</f>
        <v>1.46054629306305</v>
      </c>
      <c r="I120" s="18" t="n">
        <f aca="false">I119/(I116+I117)</f>
        <v>1.05344508228211</v>
      </c>
      <c r="J120" s="18" t="n">
        <f aca="false">J119/(J116+J117)</f>
        <v>1.85815086413015</v>
      </c>
      <c r="K120" s="18" t="n">
        <f aca="false">K119/(K116+K117)</f>
        <v>6.48079773234311</v>
      </c>
      <c r="L120" s="18" t="n">
        <f aca="false">L119/(L116+L117)</f>
        <v>6.3971194444752</v>
      </c>
      <c r="M120" s="18" t="n">
        <f aca="false">M119/(M116+M117)</f>
        <v>8.76675900161582</v>
      </c>
      <c r="N120" s="18"/>
      <c r="O120" s="18" t="n">
        <f aca="false">O119/(O116+O117)</f>
        <v>1.25696814311706</v>
      </c>
      <c r="P120" s="18" t="n">
        <f aca="false">P119/(P116+P117)</f>
        <v>3.68294844346237</v>
      </c>
      <c r="Q120" s="18" t="n">
        <f aca="false">Q119/(Q116+Q117)</f>
        <v>1.59097657725225</v>
      </c>
      <c r="R120" s="18" t="n">
        <f aca="false">R119/(R116+R117)</f>
        <v>16.2386282661629</v>
      </c>
      <c r="S120" s="18" t="n">
        <f aca="false">S119/(S116+S117)</f>
        <v>2.48444101513945</v>
      </c>
      <c r="T120" s="18" t="n">
        <f aca="false">T119/(T116+T117)</f>
        <v>1.84558028869881</v>
      </c>
      <c r="U120" s="18" t="n">
        <f aca="false">U119/(U116+U117)</f>
        <v>4.09308656089111</v>
      </c>
      <c r="V120" s="18" t="n">
        <f aca="false">V119/(V116+V117)</f>
        <v>2.6054496788721</v>
      </c>
      <c r="W120" s="18" t="n">
        <f aca="false">W119/(W116+W117)</f>
        <v>2.29539090039136</v>
      </c>
      <c r="X120" s="18" t="n">
        <f aca="false">X119/(X116+X117)</f>
        <v>6.55726813786667</v>
      </c>
      <c r="Y120" s="18" t="n">
        <f aca="false">Y119/(Y116+Y117)</f>
        <v>8.08231124691761</v>
      </c>
      <c r="Z120" s="18"/>
      <c r="AA120" s="18" t="n">
        <f aca="false">AA119/(AA116+AA117)</f>
        <v>0.611135273847007</v>
      </c>
      <c r="AB120" s="18" t="n">
        <f aca="false">AB119/(AB116+AB117)</f>
        <v>5.68320025050885</v>
      </c>
      <c r="AC120" s="18"/>
      <c r="AD120" s="18" t="n">
        <f aca="false">AD119/(AD116+AD117)</f>
        <v>1.5558108078764</v>
      </c>
      <c r="AE120" s="18" t="n">
        <f aca="false">AE119/(AE116+AE117)</f>
        <v>1.23071238909436</v>
      </c>
      <c r="AF120" s="18" t="e">
        <f aca="false">AF119/(AF116+AF117)</f>
        <v>#DIV/0!</v>
      </c>
      <c r="AG120" s="18" t="n">
        <f aca="false">AG119/(AG116+AG117)</f>
        <v>1.61322609936273</v>
      </c>
      <c r="AH120" s="18" t="n">
        <f aca="false">AH119/(AH116+AH117)</f>
        <v>1.68915426654969</v>
      </c>
      <c r="AI120" s="18" t="n">
        <f aca="false">AI119/(AI116+AI117)</f>
        <v>1.53671358110082</v>
      </c>
      <c r="AJ120" s="18" t="n">
        <f aca="false">AJ119/(AJ116+AJ117)</f>
        <v>2.44845661011591</v>
      </c>
      <c r="AK120" s="18"/>
      <c r="AL120" s="18" t="n">
        <f aca="false">AL119/(AL116+AL117)</f>
        <v>1.71417879017937</v>
      </c>
      <c r="AM120" s="18" t="n">
        <f aca="false">AM119/(AM116+AM117)</f>
        <v>0.976363973835607</v>
      </c>
      <c r="AN120" s="18" t="n">
        <f aca="false">AN119/(AN116+AN117)</f>
        <v>1.65787297551491</v>
      </c>
      <c r="AO120" s="18" t="n">
        <f aca="false">AO119/(AO116+AO117)</f>
        <v>1.2331510516845</v>
      </c>
      <c r="AP120" s="18" t="n">
        <f aca="false">AP119/(AP116+AP117)</f>
        <v>2.31273799544097</v>
      </c>
      <c r="AQ120" s="18" t="n">
        <f aca="false">AQ119/(AQ116+AQ117)</f>
        <v>3.43439102896214</v>
      </c>
      <c r="AR120" s="18" t="n">
        <f aca="false">AR119/(AR116+AR117)</f>
        <v>1.26533684691766</v>
      </c>
      <c r="AS120" s="18" t="e">
        <f aca="false">AS119/(AS116+AS117)</f>
        <v>#DIV/0!</v>
      </c>
      <c r="AT120" s="18" t="n">
        <f aca="false">AT119/(AT116+AT117)</f>
        <v>1.76482761564649</v>
      </c>
      <c r="AU120" s="18" t="n">
        <f aca="false">AU119/(AU116+AU117)</f>
        <v>3.75722253285353</v>
      </c>
      <c r="AV120" s="18" t="n">
        <f aca="false">AV119/(AV116+AV117)</f>
        <v>0</v>
      </c>
      <c r="AW120" s="18" t="e">
        <f aca="false">AW119/(AW116+AW117)</f>
        <v>#DIV/0!</v>
      </c>
      <c r="AX120" s="16"/>
      <c r="AY120" s="18" t="n">
        <f aca="false">AY119/(AY116+AY117)</f>
        <v>1.76151578242253</v>
      </c>
      <c r="AZ120" s="18" t="n">
        <f aca="false">AZ119/(AZ116+AZ117)</f>
        <v>2.15854696770201</v>
      </c>
      <c r="BA120" s="18" t="n">
        <f aca="false">BA119/(BA116+BA117)</f>
        <v>2.46569784911709</v>
      </c>
      <c r="BB120" s="18" t="n">
        <f aca="false">BB119/(BB116+BB117)</f>
        <v>2.06587557377484</v>
      </c>
      <c r="BC120" s="18" t="n">
        <f aca="false">BC119/(BC116+BC117)</f>
        <v>1.64851169106428</v>
      </c>
      <c r="BD120" s="16"/>
      <c r="BE120" s="18" t="n">
        <f aca="false">BE119/(BE116+BE117)</f>
        <v>1.9838468695614</v>
      </c>
    </row>
    <row r="121" customFormat="false" ht="12.75" hidden="false" customHeight="true" outlineLevel="0" collapsed="false">
      <c r="C121" s="17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customFormat="false" ht="12.75" hidden="false" customHeight="true" outlineLevel="0" collapsed="false">
      <c r="A122" s="1" t="s">
        <v>89</v>
      </c>
      <c r="B122" s="1" t="n">
        <v>2025</v>
      </c>
      <c r="C122" s="17" t="s">
        <v>53</v>
      </c>
      <c r="D122" s="18" t="n">
        <f aca="false">D89/D24</f>
        <v>110.908484624391</v>
      </c>
      <c r="E122" s="18" t="n">
        <f aca="false">E89/E24</f>
        <v>233.798322328652</v>
      </c>
      <c r="F122" s="18" t="n">
        <f aca="false">F89/F24</f>
        <v>165.552238563526</v>
      </c>
      <c r="G122" s="18" t="n">
        <f aca="false">G89/G24</f>
        <v>131.150557684721</v>
      </c>
      <c r="H122" s="18" t="n">
        <f aca="false">H89/H24</f>
        <v>189.35334882905</v>
      </c>
      <c r="I122" s="18" t="n">
        <f aca="false">I89/I24</f>
        <v>126.335768584307</v>
      </c>
      <c r="J122" s="18" t="n">
        <f aca="false">J89/J24</f>
        <v>129.632159676088</v>
      </c>
      <c r="K122" s="18" t="n">
        <f aca="false">K89/K24</f>
        <v>140.704066615027</v>
      </c>
      <c r="L122" s="18" t="n">
        <f aca="false">L89/L24</f>
        <v>220.176742692358</v>
      </c>
      <c r="M122" s="18" t="n">
        <f aca="false">M89/M24</f>
        <v>294.148817886547</v>
      </c>
      <c r="N122" s="18"/>
      <c r="O122" s="18" t="n">
        <f aca="false">O89/O24</f>
        <v>124.35238719769</v>
      </c>
      <c r="P122" s="18" t="n">
        <f aca="false">P89/P24</f>
        <v>220.102014521783</v>
      </c>
      <c r="Q122" s="18" t="n">
        <f aca="false">Q89/Q24</f>
        <v>140.331610743541</v>
      </c>
      <c r="R122" s="18" t="n">
        <f aca="false">R89/R24</f>
        <v>267.201521835677</v>
      </c>
      <c r="S122" s="18" t="n">
        <f aca="false">S89/S24</f>
        <v>160.090365295232</v>
      </c>
      <c r="T122" s="18" t="n">
        <f aca="false">T89/T24</f>
        <v>214.909981073326</v>
      </c>
      <c r="U122" s="18" t="n">
        <f aca="false">U89/U24</f>
        <v>207.796057879242</v>
      </c>
      <c r="V122" s="18" t="n">
        <f aca="false">V89/V24</f>
        <v>309.276560876021</v>
      </c>
      <c r="W122" s="18" t="n">
        <f aca="false">W89/W24</f>
        <v>233.346482725719</v>
      </c>
      <c r="X122" s="18" t="n">
        <f aca="false">X89/X24</f>
        <v>268.097044105854</v>
      </c>
      <c r="Y122" s="18" t="e">
        <f aca="false">Y89/Y24</f>
        <v>#DIV/0!</v>
      </c>
      <c r="Z122" s="18"/>
      <c r="AA122" s="18" t="n">
        <f aca="false">AA89/AA24</f>
        <v>190.559272011805</v>
      </c>
      <c r="AB122" s="18" t="n">
        <f aca="false">AB89/AB24</f>
        <v>73.2309643723186</v>
      </c>
      <c r="AC122" s="18"/>
      <c r="AD122" s="18" t="n">
        <f aca="false">AD89/AD24</f>
        <v>308.525622762099</v>
      </c>
      <c r="AE122" s="18" t="n">
        <f aca="false">AE89/AE24</f>
        <v>252.229274081349</v>
      </c>
      <c r="AF122" s="18" t="n">
        <f aca="false">AF89/AF24</f>
        <v>0</v>
      </c>
      <c r="AG122" s="18" t="n">
        <f aca="false">AG89/AG24</f>
        <v>235.275606746195</v>
      </c>
      <c r="AH122" s="18" t="n">
        <f aca="false">AH89/AH24</f>
        <v>233.978133740147</v>
      </c>
      <c r="AI122" s="18" t="n">
        <f aca="false">AI89/AI24</f>
        <v>227.584590028842</v>
      </c>
      <c r="AJ122" s="18" t="n">
        <f aca="false">AJ89/AJ24</f>
        <v>344.965678035027</v>
      </c>
      <c r="AK122" s="18"/>
      <c r="AL122" s="18" t="n">
        <f aca="false">AL89/AL24</f>
        <v>254.706398945229</v>
      </c>
      <c r="AM122" s="18" t="n">
        <f aca="false">AM89/AM24</f>
        <v>105.3320653269</v>
      </c>
      <c r="AN122" s="18" t="n">
        <f aca="false">AN89/AN24</f>
        <v>223.131139365621</v>
      </c>
      <c r="AO122" s="18" t="n">
        <f aca="false">AO89/AO24</f>
        <v>175.315094069773</v>
      </c>
      <c r="AP122" s="18" t="n">
        <f aca="false">AP89/AP24</f>
        <v>264.041470075537</v>
      </c>
      <c r="AQ122" s="18" t="n">
        <f aca="false">AQ89/AQ24</f>
        <v>241.512499039886</v>
      </c>
      <c r="AR122" s="18" t="n">
        <f aca="false">AR89/AR24</f>
        <v>201.782887714663</v>
      </c>
      <c r="AS122" s="18" t="n">
        <f aca="false">AS89/AS24</f>
        <v>181.102806968641</v>
      </c>
      <c r="AT122" s="18" t="n">
        <f aca="false">AT89/AT24</f>
        <v>199.247889832831</v>
      </c>
      <c r="AU122" s="18" t="n">
        <f aca="false">AU89/AU24</f>
        <v>263.775866847826</v>
      </c>
      <c r="AV122" s="18" t="n">
        <f aca="false">AV89/AV24</f>
        <v>3048.2303030303</v>
      </c>
      <c r="AW122" s="18" t="e">
        <f aca="false">AW89/AW24</f>
        <v>#DIV/0!</v>
      </c>
      <c r="AX122" s="16"/>
      <c r="AY122" s="18" t="n">
        <f aca="false">AY89/AY24</f>
        <v>207.69675613713</v>
      </c>
      <c r="AZ122" s="18" t="n">
        <f aca="false">AZ89/AZ24</f>
        <v>151.060084463488</v>
      </c>
      <c r="BA122" s="18" t="n">
        <f aca="false">BA89/BA24</f>
        <v>186.576623222274</v>
      </c>
      <c r="BB122" s="18" t="n">
        <f aca="false">BB89/BB24</f>
        <v>94.9786348164357</v>
      </c>
      <c r="BC122" s="18" t="n">
        <f aca="false">BC89/BC24</f>
        <v>229.074483413189</v>
      </c>
      <c r="BD122" s="16"/>
      <c r="BE122" s="18" t="n">
        <f aca="false">BE89/BE24</f>
        <v>186.056695987773</v>
      </c>
    </row>
    <row r="123" customFormat="false" ht="12.75" hidden="false" customHeight="true" outlineLevel="0" collapsed="false">
      <c r="A123" s="1" t="s">
        <v>90</v>
      </c>
      <c r="B123" s="1" t="n">
        <v>2025</v>
      </c>
      <c r="C123" s="17" t="s">
        <v>53</v>
      </c>
      <c r="D123" s="18" t="n">
        <f aca="false">D23/D24</f>
        <v>0</v>
      </c>
      <c r="E123" s="18" t="n">
        <f aca="false">E23/E24</f>
        <v>92.5057807123593</v>
      </c>
      <c r="F123" s="18" t="n">
        <f aca="false">F23/F24</f>
        <v>43.9355536043551</v>
      </c>
      <c r="G123" s="18" t="n">
        <f aca="false">G23/G24</f>
        <v>40.7876204700445</v>
      </c>
      <c r="H123" s="18" t="n">
        <f aca="false">H23/H24</f>
        <v>54.4342601526182</v>
      </c>
      <c r="I123" s="18" t="n">
        <f aca="false">I23/I24</f>
        <v>41.3760562304225</v>
      </c>
      <c r="J123" s="18" t="n">
        <f aca="false">J23/J24</f>
        <v>41.0051910452455</v>
      </c>
      <c r="K123" s="18" t="n">
        <f aca="false">K23/K24</f>
        <v>48.7167776917119</v>
      </c>
      <c r="L123" s="18" t="n">
        <f aca="false">L23/L24</f>
        <v>80.0255695372919</v>
      </c>
      <c r="M123" s="18" t="n">
        <f aca="false">M23/M24</f>
        <v>134.816769393459</v>
      </c>
      <c r="N123" s="18"/>
      <c r="O123" s="18" t="n">
        <f aca="false">O23/O24</f>
        <v>39.8680519793045</v>
      </c>
      <c r="P123" s="18" t="n">
        <f aca="false">P23/P24</f>
        <v>58.3248072108162</v>
      </c>
      <c r="Q123" s="18" t="n">
        <f aca="false">Q23/Q24</f>
        <v>34.1589697542533</v>
      </c>
      <c r="R123" s="18" t="n">
        <f aca="false">R23/R24</f>
        <v>83.0443227239082</v>
      </c>
      <c r="S123" s="18" t="n">
        <f aca="false">S23/S24</f>
        <v>42.7537338612498</v>
      </c>
      <c r="T123" s="18" t="n">
        <f aca="false">T23/T24</f>
        <v>78.1168105500946</v>
      </c>
      <c r="U123" s="18" t="n">
        <f aca="false">U23/U24</f>
        <v>64.0007237682608</v>
      </c>
      <c r="V123" s="18" t="n">
        <f aca="false">V23/V24</f>
        <v>77.5311627691166</v>
      </c>
      <c r="W123" s="18" t="n">
        <f aca="false">W23/W24</f>
        <v>60.188458633165</v>
      </c>
      <c r="X123" s="18" t="n">
        <f aca="false">X23/X24</f>
        <v>101.804704089816</v>
      </c>
      <c r="Y123" s="18" t="e">
        <f aca="false">Y23/Y24</f>
        <v>#DIV/0!</v>
      </c>
      <c r="Z123" s="18"/>
      <c r="AA123" s="18" t="n">
        <f aca="false">AA23/AA24</f>
        <v>47.4141662567634</v>
      </c>
      <c r="AB123" s="18" t="n">
        <f aca="false">AB23/AB24</f>
        <v>25.1696698377168</v>
      </c>
      <c r="AC123" s="18"/>
      <c r="AD123" s="18" t="n">
        <f aca="false">AD23/AD24</f>
        <v>120.647518576984</v>
      </c>
      <c r="AE123" s="18" t="n">
        <f aca="false">AE23/AE24</f>
        <v>85.2228087404861</v>
      </c>
      <c r="AF123" s="18" t="n">
        <f aca="false">AF23/AF24</f>
        <v>0</v>
      </c>
      <c r="AG123" s="18" t="n">
        <f aca="false">AG23/AG24</f>
        <v>64.5055944055944</v>
      </c>
      <c r="AH123" s="18" t="n">
        <f aca="false">AH23/AH24</f>
        <v>61.4022657287341</v>
      </c>
      <c r="AI123" s="18" t="n">
        <f aca="false">AI23/AI24</f>
        <v>61.4552533992583</v>
      </c>
      <c r="AJ123" s="18" t="n">
        <f aca="false">AJ23/AJ24</f>
        <v>97.4677113267907</v>
      </c>
      <c r="AK123" s="18"/>
      <c r="AL123" s="18" t="n">
        <f aca="false">AL23/AL24</f>
        <v>101.453605999011</v>
      </c>
      <c r="AM123" s="18" t="n">
        <f aca="false">AM23/AM24</f>
        <v>73.6828612333634</v>
      </c>
      <c r="AN123" s="18" t="n">
        <f aca="false">AN23/AN24</f>
        <v>66.1759120316291</v>
      </c>
      <c r="AO123" s="18" t="n">
        <f aca="false">AO23/AO24</f>
        <v>43.7029331040471</v>
      </c>
      <c r="AP123" s="18" t="n">
        <f aca="false">AP23/AP24</f>
        <v>85.3584166182452</v>
      </c>
      <c r="AQ123" s="18" t="n">
        <f aca="false">AQ23/AQ24</f>
        <v>86.3803193065233</v>
      </c>
      <c r="AR123" s="18" t="n">
        <f aca="false">AR23/AR24</f>
        <v>41.3141710700132</v>
      </c>
      <c r="AS123" s="18" t="n">
        <f aca="false">AS23/AS24</f>
        <v>115.102431358885</v>
      </c>
      <c r="AT123" s="18" t="n">
        <f aca="false">AT23/AT24</f>
        <v>76.0579336804604</v>
      </c>
      <c r="AU123" s="18" t="n">
        <f aca="false">AU23/AU24</f>
        <v>107.909048913043</v>
      </c>
      <c r="AV123" s="18" t="n">
        <f aca="false">AV23/AV24</f>
        <v>2719.59016317016</v>
      </c>
      <c r="AW123" s="18" t="e">
        <f aca="false">AW23/AW24</f>
        <v>#DIV/0!</v>
      </c>
      <c r="AX123" s="16"/>
      <c r="AY123" s="18" t="n">
        <f aca="false">AY23/AY24</f>
        <v>74.20534952739</v>
      </c>
      <c r="AZ123" s="18" t="n">
        <f aca="false">AZ23/AZ24</f>
        <v>45.7626700231544</v>
      </c>
      <c r="BA123" s="18" t="n">
        <f aca="false">BA23/BA24</f>
        <v>53.8678719814827</v>
      </c>
      <c r="BB123" s="18" t="n">
        <f aca="false">BB23/BB24</f>
        <v>29.2928519328957</v>
      </c>
      <c r="BC123" s="18" t="n">
        <f aca="false">BC23/BC24</f>
        <v>70.0234193644296</v>
      </c>
      <c r="BD123" s="16"/>
      <c r="BE123" s="18" t="n">
        <f aca="false">BE23/BE24</f>
        <v>58.4282187928921</v>
      </c>
    </row>
    <row r="124" customFormat="false" ht="12.75" hidden="false" customHeight="true" outlineLevel="0" collapsed="false">
      <c r="C124" s="17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6"/>
      <c r="AY124" s="18"/>
      <c r="AZ124" s="18"/>
      <c r="BA124" s="18"/>
      <c r="BB124" s="18"/>
      <c r="BC124" s="18"/>
      <c r="BD124" s="16"/>
      <c r="BE124" s="18"/>
    </row>
    <row r="125" customFormat="false" ht="12.75" hidden="false" customHeight="true" outlineLevel="0" collapsed="false">
      <c r="A125" s="1" t="s">
        <v>91</v>
      </c>
      <c r="B125" s="1" t="n">
        <v>2025</v>
      </c>
      <c r="C125" s="17" t="s">
        <v>92</v>
      </c>
      <c r="D125" s="14" t="n">
        <f aca="false">SUM(D28:D32)</f>
        <v>47235</v>
      </c>
      <c r="E125" s="14" t="n">
        <f aca="false">SUM(E28:E32)</f>
        <v>17703</v>
      </c>
      <c r="F125" s="14" t="n">
        <f aca="false">SUM(F28:F32)</f>
        <v>35278</v>
      </c>
      <c r="G125" s="14" t="n">
        <f aca="false">SUM(G28:G32)</f>
        <v>55295</v>
      </c>
      <c r="H125" s="14" t="n">
        <f aca="false">SUM(H28:H32)</f>
        <v>34991</v>
      </c>
      <c r="I125" s="14" t="n">
        <f aca="false">SUM(I28:I32)</f>
        <v>91247</v>
      </c>
      <c r="J125" s="14" t="n">
        <f aca="false">SUM(J28:J32)</f>
        <v>75328</v>
      </c>
      <c r="K125" s="14" t="n">
        <f aca="false">SUM(K28:K32)</f>
        <v>15466</v>
      </c>
      <c r="L125" s="14" t="n">
        <f aca="false">SUM(L28:L32)</f>
        <v>12489</v>
      </c>
      <c r="M125" s="14" t="n">
        <f aca="false">SUM(M28:M32)</f>
        <v>19820</v>
      </c>
      <c r="N125" s="18"/>
      <c r="O125" s="14" t="n">
        <f aca="false">SUM(O28:O32)</f>
        <v>47412</v>
      </c>
      <c r="P125" s="14" t="n">
        <f aca="false">SUM(P28:P32)</f>
        <v>26972</v>
      </c>
      <c r="Q125" s="14" t="n">
        <f aca="false">SUM(Q28:Q32)</f>
        <v>91778</v>
      </c>
      <c r="R125" s="14" t="n">
        <f aca="false">SUM(R28:R32)</f>
        <v>7814</v>
      </c>
      <c r="S125" s="14" t="n">
        <f aca="false">SUM(S28:S32)</f>
        <v>45526</v>
      </c>
      <c r="T125" s="14" t="n">
        <f aca="false">SUM(T28:T32)</f>
        <v>22578</v>
      </c>
      <c r="U125" s="14" t="n">
        <f aca="false">SUM(U28:U32)</f>
        <v>26964</v>
      </c>
      <c r="V125" s="14" t="n">
        <f aca="false">SUM(V28:V32)</f>
        <v>18948</v>
      </c>
      <c r="W125" s="14" t="n">
        <f aca="false">SUM(W28:W32)</f>
        <v>38745</v>
      </c>
      <c r="X125" s="14" t="n">
        <f aca="false">SUM(X28:X32)</f>
        <v>9169</v>
      </c>
      <c r="Y125" s="14" t="n">
        <f aca="false">SUM(Y28:Y32)</f>
        <v>0</v>
      </c>
      <c r="Z125" s="18"/>
      <c r="AA125" s="14" t="n">
        <f aca="false">SUM(AA28:AA32)</f>
        <v>6194</v>
      </c>
      <c r="AB125" s="14" t="n">
        <f aca="false">SUM(AB28:AB32)</f>
        <v>30225</v>
      </c>
      <c r="AC125" s="18"/>
      <c r="AD125" s="14" t="n">
        <f aca="false">SUM(AD28:AD32)</f>
        <v>27016</v>
      </c>
      <c r="AE125" s="14" t="n">
        <f aca="false">SUM(AE28:AE32)</f>
        <v>60678</v>
      </c>
      <c r="AF125" s="14" t="n">
        <f aca="false">SUM(AF28:AF32)</f>
        <v>53792</v>
      </c>
      <c r="AG125" s="14" t="n">
        <f aca="false">SUM(AG28:AG32)</f>
        <v>69036</v>
      </c>
      <c r="AH125" s="14" t="n">
        <f aca="false">SUM(AH28:AH32)</f>
        <v>112258</v>
      </c>
      <c r="AI125" s="14" t="n">
        <f aca="false">SUM(AI28:AI32)</f>
        <v>69391</v>
      </c>
      <c r="AJ125" s="14" t="n">
        <f aca="false">SUM(AJ28:AJ32)</f>
        <v>54019</v>
      </c>
      <c r="AK125" s="18"/>
      <c r="AL125" s="14" t="n">
        <f aca="false">SUM(AL28:AL32)</f>
        <v>29334</v>
      </c>
      <c r="AM125" s="14" t="n">
        <f aca="false">SUM(AM28:AM32)</f>
        <v>25678</v>
      </c>
      <c r="AN125" s="14" t="n">
        <f aca="false">SUM(AN28:AN32)</f>
        <v>25619</v>
      </c>
      <c r="AO125" s="14" t="n">
        <f aca="false">SUM(AO28:AO32)</f>
        <v>69918</v>
      </c>
      <c r="AP125" s="14" t="n">
        <f aca="false">SUM(AP28:AP32)</f>
        <v>25003</v>
      </c>
      <c r="AQ125" s="14" t="n">
        <f aca="false">SUM(AQ28:AQ32)</f>
        <v>23720</v>
      </c>
      <c r="AR125" s="14" t="n">
        <f aca="false">SUM(AR28:AR32)</f>
        <v>45448</v>
      </c>
      <c r="AS125" s="14" t="n">
        <f aca="false">SUM(AS28:AS32)</f>
        <v>20503</v>
      </c>
      <c r="AT125" s="14" t="n">
        <f aca="false">SUM(AT28:AT32)</f>
        <v>4050</v>
      </c>
      <c r="AU125" s="14" t="n">
        <f aca="false">SUM(AU28:AU32)</f>
        <v>4229</v>
      </c>
      <c r="AV125" s="14" t="n">
        <f aca="false">SUM(AV28:AV32)</f>
        <v>575</v>
      </c>
      <c r="AW125" s="14" t="n">
        <f aca="false">SUM(AW28:AW32)</f>
        <v>0</v>
      </c>
      <c r="AX125" s="16"/>
      <c r="AY125" s="14" t="n">
        <f aca="false">SUM(AY28:AY32)</f>
        <v>274077</v>
      </c>
      <c r="AZ125" s="14" t="n">
        <f aca="false">SUM(AZ28:AZ32)</f>
        <v>404852</v>
      </c>
      <c r="BA125" s="14" t="n">
        <f aca="false">SUM(BA28:BA32)</f>
        <v>335906</v>
      </c>
      <c r="BB125" s="14" t="n">
        <f aca="false">SUM(BB28:BB32)</f>
        <v>36419</v>
      </c>
      <c r="BC125" s="14" t="n">
        <f aca="false">SUM(BC28:BC32)</f>
        <v>446190</v>
      </c>
      <c r="BD125" s="16"/>
      <c r="BE125" s="14" t="n">
        <f aca="false">SUM(BE28:BE32)</f>
        <v>1497444</v>
      </c>
    </row>
    <row r="126" customFormat="false" ht="12.75" hidden="false" customHeight="true" outlineLevel="0" collapsed="false">
      <c r="A126" s="1" t="s">
        <v>93</v>
      </c>
      <c r="B126" s="1" t="n">
        <v>2025</v>
      </c>
      <c r="C126" s="17" t="s">
        <v>94</v>
      </c>
      <c r="D126" s="16" t="n">
        <f aca="false">D28/D125</f>
        <v>0.152090610775908</v>
      </c>
      <c r="E126" s="16" t="n">
        <f aca="false">E28/E125</f>
        <v>0.277184657967576</v>
      </c>
      <c r="F126" s="16" t="n">
        <f aca="false">F28/F125</f>
        <v>0.207863257554283</v>
      </c>
      <c r="G126" s="16" t="n">
        <f aca="false">G28/G125</f>
        <v>0.124803327606474</v>
      </c>
      <c r="H126" s="16" t="n">
        <f aca="false">H28/H125</f>
        <v>0.218770540996256</v>
      </c>
      <c r="I126" s="16" t="n">
        <f aca="false">I28/I125</f>
        <v>0.236577640908742</v>
      </c>
      <c r="J126" s="16" t="n">
        <f aca="false">J28/J125</f>
        <v>0.246681180968564</v>
      </c>
      <c r="K126" s="16" t="n">
        <f aca="false">K28/K125</f>
        <v>0.173994568731411</v>
      </c>
      <c r="L126" s="16" t="n">
        <f aca="false">L28/L125</f>
        <v>0.16926895668188</v>
      </c>
      <c r="M126" s="16" t="n">
        <f aca="false">M28/M125</f>
        <v>0.0283551967709384</v>
      </c>
      <c r="N126" s="18"/>
      <c r="O126" s="16" t="n">
        <f aca="false">O28/O125</f>
        <v>0.515945330296128</v>
      </c>
      <c r="P126" s="16" t="n">
        <f aca="false">P28/P125</f>
        <v>0.107704285926146</v>
      </c>
      <c r="Q126" s="16" t="n">
        <f aca="false">Q28/Q125</f>
        <v>0.307132428250779</v>
      </c>
      <c r="R126" s="16" t="n">
        <f aca="false">R28/R125</f>
        <v>0.0470949577681085</v>
      </c>
      <c r="S126" s="16" t="n">
        <f aca="false">S28/S125</f>
        <v>0.213438474717744</v>
      </c>
      <c r="T126" s="16" t="n">
        <f aca="false">T28/T125</f>
        <v>0.23784214722296</v>
      </c>
      <c r="U126" s="16" t="n">
        <f aca="false">U28/U125</f>
        <v>0.143228007713989</v>
      </c>
      <c r="V126" s="16" t="n">
        <f aca="false">V28/V125</f>
        <v>0.441893603546548</v>
      </c>
      <c r="W126" s="16" t="n">
        <f aca="false">W28/W125</f>
        <v>0.207949412827462</v>
      </c>
      <c r="X126" s="16" t="n">
        <f aca="false">X28/X125</f>
        <v>0.180499509215836</v>
      </c>
      <c r="Y126" s="16" t="e">
        <f aca="false">Y28/Y125</f>
        <v>#DIV/0!</v>
      </c>
      <c r="Z126" s="18"/>
      <c r="AA126" s="16" t="n">
        <f aca="false">AA28/AA125</f>
        <v>0.750726509525347</v>
      </c>
      <c r="AB126" s="16" t="n">
        <f aca="false">AB28/AB125</f>
        <v>0.727411083540116</v>
      </c>
      <c r="AC126" s="18"/>
      <c r="AD126" s="16" t="n">
        <f aca="false">AD28/AD125</f>
        <v>0.210208765176192</v>
      </c>
      <c r="AE126" s="16" t="n">
        <f aca="false">AE28/AE125</f>
        <v>0.217360493094697</v>
      </c>
      <c r="AF126" s="16" t="n">
        <f aca="false">AF28/AF125</f>
        <v>0.235871505056514</v>
      </c>
      <c r="AG126" s="16" t="n">
        <f aca="false">AG28/AG125</f>
        <v>0.210947911234718</v>
      </c>
      <c r="AH126" s="16" t="n">
        <f aca="false">AH28/AH125</f>
        <v>0.196128560993426</v>
      </c>
      <c r="AI126" s="16" t="n">
        <f aca="false">AI28/AI125</f>
        <v>0.192128662218443</v>
      </c>
      <c r="AJ126" s="16" t="n">
        <f aca="false">AJ28/AJ125</f>
        <v>0.222144060423184</v>
      </c>
      <c r="AK126" s="18"/>
      <c r="AL126" s="16" t="n">
        <f aca="false">AL28/AL125</f>
        <v>0.424933524238086</v>
      </c>
      <c r="AM126" s="16" t="n">
        <f aca="false">AM28/AM125</f>
        <v>0.624152971415219</v>
      </c>
      <c r="AN126" s="16" t="n">
        <f aca="false">AN28/AN125</f>
        <v>0.504742573870955</v>
      </c>
      <c r="AO126" s="16" t="n">
        <f aca="false">AO28/AO125</f>
        <v>0.572899682485197</v>
      </c>
      <c r="AP126" s="16" t="n">
        <f aca="false">AP28/AP125</f>
        <v>0.419749630044395</v>
      </c>
      <c r="AQ126" s="16" t="n">
        <f aca="false">AQ28/AQ125</f>
        <v>0.336677908937605</v>
      </c>
      <c r="AR126" s="16" t="n">
        <f aca="false">AR28/AR125</f>
        <v>0.380412779440239</v>
      </c>
      <c r="AS126" s="16" t="n">
        <f aca="false">AS28/AS125</f>
        <v>0.588938204165244</v>
      </c>
      <c r="AT126" s="16" t="n">
        <f aca="false">AT28/AT125</f>
        <v>0.595802469135803</v>
      </c>
      <c r="AU126" s="16" t="n">
        <f aca="false">AU28/AU125</f>
        <v>0.439347363442894</v>
      </c>
      <c r="AV126" s="16" t="n">
        <f aca="false">AV28/AV125</f>
        <v>0.27304347826087</v>
      </c>
      <c r="AW126" s="16" t="e">
        <f aca="false">AW28/AW125</f>
        <v>#DIV/0!</v>
      </c>
      <c r="AX126" s="16"/>
      <c r="AY126" s="16" t="n">
        <f aca="false">AY28/AY125</f>
        <v>0.488008844229906</v>
      </c>
      <c r="AZ126" s="16" t="n">
        <f aca="false">AZ28/AZ125</f>
        <v>0.196407576101884</v>
      </c>
      <c r="BA126" s="16" t="n">
        <f aca="false">BA28/BA125</f>
        <v>0.276735158050169</v>
      </c>
      <c r="BB126" s="16" t="n">
        <f aca="false">BB28/BB125</f>
        <v>0.73137647931025</v>
      </c>
      <c r="BC126" s="16" t="n">
        <f aca="false">BC28/BC125</f>
        <v>0.209480266254286</v>
      </c>
      <c r="BD126" s="16"/>
      <c r="BE126" s="16" t="n">
        <f aca="false">BE28/BE125</f>
        <v>0.284704469749787</v>
      </c>
    </row>
    <row r="127" customFormat="false" ht="12.75" hidden="false" customHeight="true" outlineLevel="0" collapsed="false">
      <c r="A127" s="1" t="s">
        <v>95</v>
      </c>
      <c r="B127" s="1" t="n">
        <v>2025</v>
      </c>
      <c r="C127" s="17" t="s">
        <v>94</v>
      </c>
      <c r="D127" s="16" t="n">
        <f aca="false">D29/D125</f>
        <v>0.111019371228962</v>
      </c>
      <c r="E127" s="16" t="n">
        <f aca="false">E29/E125</f>
        <v>0</v>
      </c>
      <c r="F127" s="16" t="n">
        <f aca="false">F29/F125</f>
        <v>0.0126424400476217</v>
      </c>
      <c r="G127" s="16" t="n">
        <f aca="false">G29/G125</f>
        <v>0.133050004521204</v>
      </c>
      <c r="H127" s="16" t="n">
        <f aca="false">H29/H125</f>
        <v>0.133005630019148</v>
      </c>
      <c r="I127" s="16" t="n">
        <f aca="false">I29/I125</f>
        <v>0.0692954288908129</v>
      </c>
      <c r="J127" s="16" t="n">
        <f aca="false">J29/J125</f>
        <v>0.112176083262532</v>
      </c>
      <c r="K127" s="16" t="n">
        <f aca="false">K29/K125</f>
        <v>0.0365317470580629</v>
      </c>
      <c r="L127" s="16" t="n">
        <f aca="false">L29/L125</f>
        <v>0.115461606213468</v>
      </c>
      <c r="M127" s="16" t="n">
        <f aca="false">M29/M125</f>
        <v>0.233400605449041</v>
      </c>
      <c r="N127" s="18"/>
      <c r="O127" s="16" t="n">
        <f aca="false">O29/O125</f>
        <v>0.0110309626254957</v>
      </c>
      <c r="P127" s="16" t="n">
        <f aca="false">P29/P125</f>
        <v>0.19427554500964</v>
      </c>
      <c r="Q127" s="16" t="n">
        <f aca="false">Q29/Q125</f>
        <v>0.092876288435137</v>
      </c>
      <c r="R127" s="16" t="n">
        <f aca="false">R29/R125</f>
        <v>0.0808804709495777</v>
      </c>
      <c r="S127" s="16" t="n">
        <f aca="false">S29/S125</f>
        <v>0.16930984492378</v>
      </c>
      <c r="T127" s="16" t="n">
        <f aca="false">T29/T125</f>
        <v>0.194259899016742</v>
      </c>
      <c r="U127" s="16" t="n">
        <f aca="false">U29/U125</f>
        <v>0.179350244770806</v>
      </c>
      <c r="V127" s="16" t="n">
        <f aca="false">V29/V125</f>
        <v>0.0125606924213637</v>
      </c>
      <c r="W127" s="16" t="n">
        <f aca="false">W29/W125</f>
        <v>0.273970834946445</v>
      </c>
      <c r="X127" s="16" t="n">
        <f aca="false">X29/X125</f>
        <v>0.0865961391645763</v>
      </c>
      <c r="Y127" s="16" t="e">
        <f aca="false">Y29/Y125</f>
        <v>#DIV/0!</v>
      </c>
      <c r="Z127" s="18"/>
      <c r="AA127" s="16" t="n">
        <f aca="false">AA29/AA125</f>
        <v>0.116564417177914</v>
      </c>
      <c r="AB127" s="16" t="n">
        <f aca="false">AB29/AB125</f>
        <v>0.000165425971877585</v>
      </c>
      <c r="AC127" s="18"/>
      <c r="AD127" s="16" t="n">
        <f aca="false">AD29/AD125</f>
        <v>0.130367189813444</v>
      </c>
      <c r="AE127" s="16" t="n">
        <f aca="false">AE29/AE125</f>
        <v>0.167820297307096</v>
      </c>
      <c r="AF127" s="16" t="n">
        <f aca="false">AF29/AF125</f>
        <v>0.115203004164188</v>
      </c>
      <c r="AG127" s="16" t="n">
        <f aca="false">AG29/AG125</f>
        <v>0.136175328813952</v>
      </c>
      <c r="AH127" s="16" t="n">
        <f aca="false">AH29/AH125</f>
        <v>0.103003794829767</v>
      </c>
      <c r="AI127" s="16" t="n">
        <f aca="false">AI29/AI125</f>
        <v>0.146286982461703</v>
      </c>
      <c r="AJ127" s="16" t="n">
        <f aca="false">AJ29/AJ125</f>
        <v>0.107906477350562</v>
      </c>
      <c r="AK127" s="18"/>
      <c r="AL127" s="16" t="n">
        <f aca="false">AL29/AL125</f>
        <v>0.0495329651598827</v>
      </c>
      <c r="AM127" s="16" t="n">
        <f aca="false">AM29/AM125</f>
        <v>0.0237557442168393</v>
      </c>
      <c r="AN127" s="16" t="n">
        <f aca="false">AN29/AN125</f>
        <v>0</v>
      </c>
      <c r="AO127" s="16" t="n">
        <f aca="false">AO29/AO125</f>
        <v>0</v>
      </c>
      <c r="AP127" s="16" t="n">
        <f aca="false">AP29/AP125</f>
        <v>0.0666719993600768</v>
      </c>
      <c r="AQ127" s="16" t="n">
        <f aca="false">AQ29/AQ125</f>
        <v>0.0577150084317032</v>
      </c>
      <c r="AR127" s="16" t="n">
        <f aca="false">AR29/AR125</f>
        <v>0.292444111952121</v>
      </c>
      <c r="AS127" s="16" t="n">
        <f aca="false">AS29/AS125</f>
        <v>0.0249231819733698</v>
      </c>
      <c r="AT127" s="16" t="n">
        <f aca="false">AT29/AT125</f>
        <v>0.18</v>
      </c>
      <c r="AU127" s="16" t="n">
        <f aca="false">AU29/AU125</f>
        <v>0.151099550721211</v>
      </c>
      <c r="AV127" s="16" t="n">
        <f aca="false">AV29/AV125</f>
        <v>0</v>
      </c>
      <c r="AW127" s="16" t="e">
        <f aca="false">AW29/AW125</f>
        <v>#DIV/0!</v>
      </c>
      <c r="AX127" s="16"/>
      <c r="AY127" s="16" t="n">
        <f aca="false">AY29/AY125</f>
        <v>0.073953669954064</v>
      </c>
      <c r="AZ127" s="16" t="n">
        <f aca="false">AZ29/AZ125</f>
        <v>0.0965957930305396</v>
      </c>
      <c r="BA127" s="16" t="n">
        <f aca="false">BA29/BA125</f>
        <v>0.129488606931701</v>
      </c>
      <c r="BB127" s="16" t="n">
        <f aca="false">BB29/BB125</f>
        <v>0.0199621076910404</v>
      </c>
      <c r="BC127" s="16" t="n">
        <f aca="false">BC29/BC125</f>
        <v>0.127403124229588</v>
      </c>
      <c r="BD127" s="16"/>
      <c r="BE127" s="16" t="n">
        <f aca="false">BE29/BE125</f>
        <v>0.107145909963912</v>
      </c>
    </row>
    <row r="128" customFormat="false" ht="12.75" hidden="false" customHeight="true" outlineLevel="0" collapsed="false">
      <c r="A128" s="1" t="s">
        <v>96</v>
      </c>
      <c r="B128" s="1" t="n">
        <v>2025</v>
      </c>
      <c r="C128" s="17" t="s">
        <v>94</v>
      </c>
      <c r="D128" s="16" t="n">
        <f aca="false">D30/D125</f>
        <v>0.631459722663279</v>
      </c>
      <c r="E128" s="16" t="n">
        <f aca="false">E30/E125</f>
        <v>0.618482743037903</v>
      </c>
      <c r="F128" s="16" t="n">
        <f aca="false">F30/F125</f>
        <v>0.70406485628437</v>
      </c>
      <c r="G128" s="16" t="n">
        <f aca="false">G30/G125</f>
        <v>0.543032823944299</v>
      </c>
      <c r="H128" s="16" t="n">
        <f aca="false">H30/H125</f>
        <v>0.490611871624132</v>
      </c>
      <c r="I128" s="16" t="n">
        <f aca="false">I30/I125</f>
        <v>0.513299067366598</v>
      </c>
      <c r="J128" s="16" t="n">
        <f aca="false">J30/J125</f>
        <v>0.548972493627868</v>
      </c>
      <c r="K128" s="16" t="n">
        <f aca="false">K30/K125</f>
        <v>0.789473684210526</v>
      </c>
      <c r="L128" s="16" t="n">
        <f aca="false">L30/L125</f>
        <v>0.563055488830171</v>
      </c>
      <c r="M128" s="16" t="n">
        <f aca="false">M30/M125</f>
        <v>0.475882946518668</v>
      </c>
      <c r="N128" s="18"/>
      <c r="O128" s="16" t="n">
        <f aca="false">O30/O125</f>
        <v>0.357989538513457</v>
      </c>
      <c r="P128" s="16" t="n">
        <f aca="false">P30/P125</f>
        <v>0.597211923476198</v>
      </c>
      <c r="Q128" s="16" t="n">
        <f aca="false">Q30/Q125</f>
        <v>0.465765216064852</v>
      </c>
      <c r="R128" s="16" t="n">
        <f aca="false">R30/R125</f>
        <v>0.549526490913745</v>
      </c>
      <c r="S128" s="16" t="n">
        <f aca="false">S30/S125</f>
        <v>0.492443878223433</v>
      </c>
      <c r="T128" s="16" t="n">
        <f aca="false">T30/T125</f>
        <v>0.415935866772965</v>
      </c>
      <c r="U128" s="16" t="n">
        <f aca="false">U30/U125</f>
        <v>0.519136626613262</v>
      </c>
      <c r="V128" s="16" t="n">
        <f aca="false">V30/V125</f>
        <v>0.545123495883471</v>
      </c>
      <c r="W128" s="16" t="n">
        <f aca="false">W30/W125</f>
        <v>0.442508710801394</v>
      </c>
      <c r="X128" s="16" t="n">
        <f aca="false">X30/X125</f>
        <v>0.668775220852874</v>
      </c>
      <c r="Y128" s="16" t="e">
        <f aca="false">Y30/Y125</f>
        <v>#DIV/0!</v>
      </c>
      <c r="Z128" s="18"/>
      <c r="AA128" s="16" t="n">
        <f aca="false">AA30/AA125</f>
        <v>0.0108169195996125</v>
      </c>
      <c r="AB128" s="16" t="n">
        <f aca="false">AB30/AB125</f>
        <v>0.272423490488007</v>
      </c>
      <c r="AC128" s="18"/>
      <c r="AD128" s="16" t="n">
        <f aca="false">AD30/AD125</f>
        <v>0.659424045010364</v>
      </c>
      <c r="AE128" s="16" t="n">
        <f aca="false">AE30/AE125</f>
        <v>0.60680971686608</v>
      </c>
      <c r="AF128" s="16" t="n">
        <f aca="false">AF30/AF125</f>
        <v>0.372546103509816</v>
      </c>
      <c r="AG128" s="16" t="n">
        <f aca="false">AG30/AG125</f>
        <v>0.627571122312996</v>
      </c>
      <c r="AH128" s="16" t="n">
        <f aca="false">AH30/AH125</f>
        <v>0.677439469792799</v>
      </c>
      <c r="AI128" s="16" t="n">
        <f aca="false">AI30/AI125</f>
        <v>0.653225922670087</v>
      </c>
      <c r="AJ128" s="16" t="n">
        <f aca="false">AJ30/AJ125</f>
        <v>0.651567041226235</v>
      </c>
      <c r="AK128" s="18"/>
      <c r="AL128" s="16" t="n">
        <f aca="false">AL30/AL125</f>
        <v>0.476307356650985</v>
      </c>
      <c r="AM128" s="16" t="n">
        <f aca="false">AM30/AM125</f>
        <v>0.222252511877872</v>
      </c>
      <c r="AN128" s="16" t="n">
        <f aca="false">AN30/AN125</f>
        <v>0.470041765876888</v>
      </c>
      <c r="AO128" s="16" t="n">
        <f aca="false">AO30/AO125</f>
        <v>0.378614948940187</v>
      </c>
      <c r="AP128" s="16" t="n">
        <f aca="false">AP30/AP125</f>
        <v>0.459784825820901</v>
      </c>
      <c r="AQ128" s="16" t="n">
        <f aca="false">AQ30/AQ125</f>
        <v>0.507462057335582</v>
      </c>
      <c r="AR128" s="16" t="n">
        <f aca="false">AR30/AR125</f>
        <v>0.275545678577715</v>
      </c>
      <c r="AS128" s="16" t="n">
        <f aca="false">AS30/AS125</f>
        <v>0.31966053748232</v>
      </c>
      <c r="AT128" s="16" t="n">
        <f aca="false">AT30/AT125</f>
        <v>0.224197530864198</v>
      </c>
      <c r="AU128" s="16" t="n">
        <f aca="false">AU30/AU125</f>
        <v>0.402695672735871</v>
      </c>
      <c r="AV128" s="16" t="n">
        <f aca="false">AV30/AV125</f>
        <v>0.676521739130435</v>
      </c>
      <c r="AW128" s="16" t="e">
        <f aca="false">AW30/AW125</f>
        <v>#DIV/0!</v>
      </c>
      <c r="AX128" s="16"/>
      <c r="AY128" s="16" t="n">
        <f aca="false">AY30/AY125</f>
        <v>0.378736632406222</v>
      </c>
      <c r="AZ128" s="16" t="n">
        <f aca="false">AZ30/AZ125</f>
        <v>0.567298667167261</v>
      </c>
      <c r="BA128" s="16" t="n">
        <f aca="false">BA30/BA125</f>
        <v>0.474942394598489</v>
      </c>
      <c r="BB128" s="16" t="n">
        <f aca="false">BB30/BB125</f>
        <v>0.227930475850518</v>
      </c>
      <c r="BC128" s="16" t="n">
        <f aca="false">BC30/BC125</f>
        <v>0.615372374997199</v>
      </c>
      <c r="BD128" s="16"/>
      <c r="BE128" s="16" t="n">
        <f aca="false">BE30/BE125</f>
        <v>0.518139576505031</v>
      </c>
    </row>
    <row r="129" customFormat="false" ht="12.75" hidden="false" customHeight="true" outlineLevel="0" collapsed="false">
      <c r="A129" s="1" t="s">
        <v>97</v>
      </c>
      <c r="B129" s="1" t="n">
        <v>2025</v>
      </c>
      <c r="C129" s="17" t="s">
        <v>94</v>
      </c>
      <c r="D129" s="16" t="n">
        <f aca="false">D31/D125</f>
        <v>0.0729120355668466</v>
      </c>
      <c r="E129" s="16" t="n">
        <f aca="false">E31/E125</f>
        <v>0</v>
      </c>
      <c r="F129" s="16" t="n">
        <f aca="false">F31/F125</f>
        <v>0.0707523102216679</v>
      </c>
      <c r="G129" s="16" t="n">
        <f aca="false">G31/G125</f>
        <v>0.18115561985713</v>
      </c>
      <c r="H129" s="16" t="n">
        <f aca="false">H31/H125</f>
        <v>0.107313309136635</v>
      </c>
      <c r="I129" s="16" t="n">
        <f aca="false">I31/I125</f>
        <v>0.154657139412803</v>
      </c>
      <c r="J129" s="16" t="n">
        <f aca="false">J31/J125</f>
        <v>0.0701465590484282</v>
      </c>
      <c r="K129" s="16" t="n">
        <f aca="false">K31/K125</f>
        <v>0</v>
      </c>
      <c r="L129" s="16" t="n">
        <f aca="false">L31/L125</f>
        <v>0.152213948274482</v>
      </c>
      <c r="M129" s="16" t="n">
        <f aca="false">M31/M125</f>
        <v>0.230928355196771</v>
      </c>
      <c r="N129" s="18"/>
      <c r="O129" s="16" t="n">
        <f aca="false">O31/O125</f>
        <v>0.0343583902809415</v>
      </c>
      <c r="P129" s="16" t="n">
        <f aca="false">P31/P125</f>
        <v>0.0134584013050571</v>
      </c>
      <c r="Q129" s="16" t="n">
        <f aca="false">Q31/Q125</f>
        <v>0.0219551526509621</v>
      </c>
      <c r="R129" s="16" t="n">
        <f aca="false">R31/R125</f>
        <v>0</v>
      </c>
      <c r="S129" s="16" t="n">
        <f aca="false">S31/S125</f>
        <v>0</v>
      </c>
      <c r="T129" s="16" t="n">
        <f aca="false">T31/T125</f>
        <v>0</v>
      </c>
      <c r="U129" s="16" t="n">
        <f aca="false">U31/U125</f>
        <v>0</v>
      </c>
      <c r="V129" s="16" t="n">
        <f aca="false">V31/V125</f>
        <v>0</v>
      </c>
      <c r="W129" s="16" t="n">
        <f aca="false">W31/W125</f>
        <v>0</v>
      </c>
      <c r="X129" s="16" t="n">
        <f aca="false">X31/X125</f>
        <v>0.0371905333187916</v>
      </c>
      <c r="Y129" s="16" t="e">
        <f aca="false">Y31/Y125</f>
        <v>#DIV/0!</v>
      </c>
      <c r="Z129" s="18"/>
      <c r="AA129" s="16" t="n">
        <f aca="false">AA31/AA125</f>
        <v>0.0211494995156603</v>
      </c>
      <c r="AB129" s="16" t="n">
        <f aca="false">AB31/AB125</f>
        <v>0</v>
      </c>
      <c r="AC129" s="18"/>
      <c r="AD129" s="16" t="n">
        <f aca="false">AD31/AD125</f>
        <v>0</v>
      </c>
      <c r="AE129" s="16" t="n">
        <f aca="false">AE31/AE125</f>
        <v>0</v>
      </c>
      <c r="AF129" s="16" t="n">
        <f aca="false">AF31/AF125</f>
        <v>0.23226502082094</v>
      </c>
      <c r="AG129" s="16" t="n">
        <f aca="false">AG31/AG125</f>
        <v>0</v>
      </c>
      <c r="AH129" s="16" t="n">
        <f aca="false">AH31/AH125</f>
        <v>0</v>
      </c>
      <c r="AI129" s="16" t="n">
        <f aca="false">AI31/AI125</f>
        <v>0</v>
      </c>
      <c r="AJ129" s="16" t="n">
        <f aca="false">AJ31/AJ125</f>
        <v>0</v>
      </c>
      <c r="AK129" s="18"/>
      <c r="AL129" s="16" t="n">
        <f aca="false">AL31/AL125</f>
        <v>0</v>
      </c>
      <c r="AM129" s="16" t="n">
        <f aca="false">AM31/AM125</f>
        <v>0</v>
      </c>
      <c r="AN129" s="16" t="n">
        <f aca="false">AN31/AN125</f>
        <v>0</v>
      </c>
      <c r="AO129" s="16" t="n">
        <f aca="false">AO31/AO125</f>
        <v>0</v>
      </c>
      <c r="AP129" s="16" t="n">
        <f aca="false">AP31/AP125</f>
        <v>0</v>
      </c>
      <c r="AQ129" s="16" t="n">
        <f aca="false">AQ31/AQ125</f>
        <v>0</v>
      </c>
      <c r="AR129" s="16" t="n">
        <f aca="false">AR31/AR125</f>
        <v>0</v>
      </c>
      <c r="AS129" s="16" t="n">
        <f aca="false">AS31/AS125</f>
        <v>0</v>
      </c>
      <c r="AT129" s="16" t="n">
        <f aca="false">AT31/AT125</f>
        <v>0</v>
      </c>
      <c r="AU129" s="16" t="n">
        <f aca="false">AU31/AU125</f>
        <v>0</v>
      </c>
      <c r="AV129" s="16" t="n">
        <f aca="false">AV31/AV125</f>
        <v>0</v>
      </c>
      <c r="AW129" s="16" t="e">
        <f aca="false">AW31/AW125</f>
        <v>#DIV/0!</v>
      </c>
      <c r="AX129" s="16"/>
      <c r="AY129" s="16" t="n">
        <f aca="false">AY31/AY125</f>
        <v>0</v>
      </c>
      <c r="AZ129" s="16" t="n">
        <f aca="false">AZ31/AZ125</f>
        <v>0.112599172043117</v>
      </c>
      <c r="BA129" s="16" t="n">
        <f aca="false">BA31/BA125</f>
        <v>0.0129440974558359</v>
      </c>
      <c r="BB129" s="16" t="n">
        <f aca="false">BB31/BB125</f>
        <v>0.00359702353167303</v>
      </c>
      <c r="BC129" s="16" t="n">
        <f aca="false">BC31/BC125</f>
        <v>0.0280015240144333</v>
      </c>
      <c r="BD129" s="16"/>
      <c r="BE129" s="16" t="n">
        <f aca="false">BE31/BE125</f>
        <v>0.0417771883289125</v>
      </c>
    </row>
    <row r="130" customFormat="false" ht="12.75" hidden="false" customHeight="true" outlineLevel="0" collapsed="false">
      <c r="A130" s="1" t="s">
        <v>98</v>
      </c>
      <c r="B130" s="1" t="n">
        <v>2025</v>
      </c>
      <c r="C130" s="17" t="s">
        <v>94</v>
      </c>
      <c r="D130" s="16" t="n">
        <f aca="false">D32/D125</f>
        <v>0.0325182597650048</v>
      </c>
      <c r="E130" s="16" t="n">
        <f aca="false">E32/E125</f>
        <v>0.104332598994521</v>
      </c>
      <c r="F130" s="16" t="n">
        <f aca="false">F32/F125</f>
        <v>0.00467713589205737</v>
      </c>
      <c r="G130" s="16" t="n">
        <f aca="false">G32/G125</f>
        <v>0.0179582240708925</v>
      </c>
      <c r="H130" s="16" t="n">
        <f aca="false">H32/H125</f>
        <v>0.050298648223829</v>
      </c>
      <c r="I130" s="16" t="n">
        <f aca="false">I32/I125</f>
        <v>0.026170723421044</v>
      </c>
      <c r="J130" s="16" t="n">
        <f aca="false">J32/J125</f>
        <v>0.0220236830926083</v>
      </c>
      <c r="K130" s="16" t="n">
        <f aca="false">K32/K125</f>
        <v>0</v>
      </c>
      <c r="L130" s="16" t="n">
        <f aca="false">L32/L125</f>
        <v>0</v>
      </c>
      <c r="M130" s="16" t="n">
        <f aca="false">M32/M125</f>
        <v>0.0314328960645812</v>
      </c>
      <c r="N130" s="18"/>
      <c r="O130" s="16" t="n">
        <f aca="false">O32/O125</f>
        <v>0.0806757782839787</v>
      </c>
      <c r="P130" s="16" t="n">
        <f aca="false">P32/P125</f>
        <v>0.0873498442829601</v>
      </c>
      <c r="Q130" s="16" t="n">
        <f aca="false">Q32/Q125</f>
        <v>0.11227091459827</v>
      </c>
      <c r="R130" s="16" t="n">
        <f aca="false">R32/R125</f>
        <v>0.322498080368569</v>
      </c>
      <c r="S130" s="16" t="n">
        <f aca="false">S32/S125</f>
        <v>0.124807802135044</v>
      </c>
      <c r="T130" s="16" t="n">
        <f aca="false">T32/T125</f>
        <v>0.151962086987333</v>
      </c>
      <c r="U130" s="16" t="n">
        <f aca="false">U32/U125</f>
        <v>0.158285120901943</v>
      </c>
      <c r="V130" s="16" t="n">
        <f aca="false">V32/V125</f>
        <v>0.000422208148617268</v>
      </c>
      <c r="W130" s="16" t="n">
        <f aca="false">W32/W125</f>
        <v>0.0755710414247</v>
      </c>
      <c r="X130" s="16" t="n">
        <f aca="false">X32/X125</f>
        <v>0.0269385974479223</v>
      </c>
      <c r="Y130" s="16" t="e">
        <f aca="false">Y32/Y125</f>
        <v>#DIV/0!</v>
      </c>
      <c r="Z130" s="18"/>
      <c r="AA130" s="16" t="n">
        <f aca="false">AA32/AA125</f>
        <v>0.100742654181466</v>
      </c>
      <c r="AB130" s="16" t="n">
        <f aca="false">AB32/AB125</f>
        <v>0</v>
      </c>
      <c r="AC130" s="18"/>
      <c r="AD130" s="16" t="n">
        <f aca="false">AD32/AD125</f>
        <v>0</v>
      </c>
      <c r="AE130" s="16" t="n">
        <f aca="false">AE32/AE125</f>
        <v>0.00800949273212697</v>
      </c>
      <c r="AF130" s="16" t="n">
        <f aca="false">AF32/AF125</f>
        <v>0.0441143664485425</v>
      </c>
      <c r="AG130" s="16" t="n">
        <f aca="false">AG32/AG125</f>
        <v>0.0253056376383336</v>
      </c>
      <c r="AH130" s="16" t="n">
        <f aca="false">AH32/AH125</f>
        <v>0.0234281743840083</v>
      </c>
      <c r="AI130" s="16" t="n">
        <f aca="false">AI32/AI125</f>
        <v>0.00835843264976726</v>
      </c>
      <c r="AJ130" s="16" t="n">
        <f aca="false">AJ32/AJ125</f>
        <v>0.0183824210000185</v>
      </c>
      <c r="AK130" s="18"/>
      <c r="AL130" s="16" t="n">
        <f aca="false">AL32/AL125</f>
        <v>0.0492261539510466</v>
      </c>
      <c r="AM130" s="16" t="n">
        <f aca="false">AM32/AM125</f>
        <v>0.129838772490069</v>
      </c>
      <c r="AN130" s="16" t="n">
        <f aca="false">AN32/AN125</f>
        <v>0.0252156602521566</v>
      </c>
      <c r="AO130" s="16" t="n">
        <f aca="false">AO32/AO125</f>
        <v>0.048485368574616</v>
      </c>
      <c r="AP130" s="16" t="n">
        <f aca="false">AP32/AP125</f>
        <v>0.053793544774627</v>
      </c>
      <c r="AQ130" s="16" t="n">
        <f aca="false">AQ32/AQ125</f>
        <v>0.0981450252951096</v>
      </c>
      <c r="AR130" s="16" t="n">
        <f aca="false">AR32/AR125</f>
        <v>0.0515974300299243</v>
      </c>
      <c r="AS130" s="16" t="n">
        <f aca="false">AS32/AS125</f>
        <v>0.0664780763790665</v>
      </c>
      <c r="AT130" s="16" t="n">
        <f aca="false">AT32/AT125</f>
        <v>0</v>
      </c>
      <c r="AU130" s="16" t="n">
        <f aca="false">AU32/AU125</f>
        <v>0.00685741310002365</v>
      </c>
      <c r="AV130" s="16" t="n">
        <f aca="false">AV32/AV125</f>
        <v>0.0504347826086957</v>
      </c>
      <c r="AW130" s="16" t="e">
        <f aca="false">AW32/AW125</f>
        <v>#DIV/0!</v>
      </c>
      <c r="AX130" s="16"/>
      <c r="AY130" s="16" t="n">
        <f aca="false">AY32/AY125</f>
        <v>0.0593008534098082</v>
      </c>
      <c r="AZ130" s="16" t="n">
        <f aca="false">AZ32/AZ125</f>
        <v>0.0270987916571982</v>
      </c>
      <c r="BA130" s="16" t="n">
        <f aca="false">BA32/BA125</f>
        <v>0.105889742963805</v>
      </c>
      <c r="BB130" s="16" t="n">
        <f aca="false">BB32/BB125</f>
        <v>0.0171339136165189</v>
      </c>
      <c r="BC130" s="16" t="n">
        <f aca="false">BC32/BC125</f>
        <v>0.0197427105044936</v>
      </c>
      <c r="BD130" s="16"/>
      <c r="BE130" s="16" t="n">
        <f aca="false">BE32/BE125</f>
        <v>0.0482328554523575</v>
      </c>
    </row>
    <row r="131" customFormat="false" ht="12.75" hidden="false" customHeight="true" outlineLevel="0" collapsed="false">
      <c r="A131" s="1" t="s">
        <v>99</v>
      </c>
      <c r="B131" s="1" t="n">
        <v>2025</v>
      </c>
      <c r="C131" s="17" t="s">
        <v>92</v>
      </c>
      <c r="D131" s="14" t="n">
        <f aca="false">D28+D29</f>
        <v>12428</v>
      </c>
      <c r="E131" s="14" t="n">
        <f aca="false">E28+E29</f>
        <v>4907</v>
      </c>
      <c r="F131" s="14" t="n">
        <f aca="false">F28+F29</f>
        <v>7779</v>
      </c>
      <c r="G131" s="14" t="n">
        <f aca="false">G28+G29</f>
        <v>14258</v>
      </c>
      <c r="H131" s="14" t="n">
        <f aca="false">H28+H29</f>
        <v>12309</v>
      </c>
      <c r="I131" s="14" t="n">
        <f aca="false">I28+I29</f>
        <v>27910</v>
      </c>
      <c r="J131" s="14" t="n">
        <f aca="false">J28+J29</f>
        <v>27032</v>
      </c>
      <c r="K131" s="14" t="n">
        <f aca="false">K28+K29</f>
        <v>3256</v>
      </c>
      <c r="L131" s="14" t="n">
        <f aca="false">L28+L29</f>
        <v>3556</v>
      </c>
      <c r="M131" s="14" t="n">
        <f aca="false">M28+M29</f>
        <v>5188</v>
      </c>
      <c r="N131" s="18"/>
      <c r="O131" s="14" t="n">
        <f aca="false">O28+O29</f>
        <v>24985</v>
      </c>
      <c r="P131" s="14" t="n">
        <f aca="false">P28+P29</f>
        <v>8145</v>
      </c>
      <c r="Q131" s="14" t="n">
        <f aca="false">Q28+Q29</f>
        <v>36712</v>
      </c>
      <c r="R131" s="14" t="n">
        <f aca="false">R28+R29</f>
        <v>1000</v>
      </c>
      <c r="S131" s="14" t="n">
        <f aca="false">S28+S29</f>
        <v>17425</v>
      </c>
      <c r="T131" s="14" t="n">
        <f aca="false">T28+T29</f>
        <v>9756</v>
      </c>
      <c r="U131" s="14" t="n">
        <f aca="false">U28+U29</f>
        <v>8698</v>
      </c>
      <c r="V131" s="14" t="n">
        <f aca="false">V28+V29</f>
        <v>8611</v>
      </c>
      <c r="W131" s="14" t="n">
        <f aca="false">W28+W29</f>
        <v>18672</v>
      </c>
      <c r="X131" s="14" t="n">
        <f aca="false">X28+X29</f>
        <v>2449</v>
      </c>
      <c r="Y131" s="14" t="n">
        <f aca="false">Y28+Y29</f>
        <v>0</v>
      </c>
      <c r="Z131" s="18"/>
      <c r="AA131" s="14" t="n">
        <f aca="false">AA28+AA29</f>
        <v>5372</v>
      </c>
      <c r="AB131" s="14" t="n">
        <f aca="false">AB28+AB29</f>
        <v>21991</v>
      </c>
      <c r="AC131" s="18"/>
      <c r="AD131" s="14" t="n">
        <f aca="false">AD28+AD29</f>
        <v>9201</v>
      </c>
      <c r="AE131" s="14" t="n">
        <f aca="false">AE28+AE29</f>
        <v>23372</v>
      </c>
      <c r="AF131" s="14" t="n">
        <f aca="false">AF28+AF29</f>
        <v>18885</v>
      </c>
      <c r="AG131" s="14" t="n">
        <f aca="false">AG28+AG29</f>
        <v>23964</v>
      </c>
      <c r="AH131" s="14" t="n">
        <f aca="false">AH28+AH29</f>
        <v>33580</v>
      </c>
      <c r="AI131" s="14" t="n">
        <f aca="false">AI28+AI29</f>
        <v>23483</v>
      </c>
      <c r="AJ131" s="14" t="n">
        <f aca="false">AJ28+AJ29</f>
        <v>17829</v>
      </c>
      <c r="AK131" s="18"/>
      <c r="AL131" s="14" t="n">
        <f aca="false">AL28+AL29</f>
        <v>13918</v>
      </c>
      <c r="AM131" s="14" t="n">
        <f aca="false">AM28+AM29</f>
        <v>16637</v>
      </c>
      <c r="AN131" s="14" t="n">
        <f aca="false">AN28+AN29</f>
        <v>12931</v>
      </c>
      <c r="AO131" s="14" t="n">
        <f aca="false">AO28+AO29</f>
        <v>40056</v>
      </c>
      <c r="AP131" s="14" t="n">
        <f aca="false">AP28+AP29</f>
        <v>12162</v>
      </c>
      <c r="AQ131" s="14" t="n">
        <f aca="false">AQ28+AQ29</f>
        <v>9355</v>
      </c>
      <c r="AR131" s="14" t="n">
        <f aca="false">AR28+AR29</f>
        <v>30580</v>
      </c>
      <c r="AS131" s="14" t="n">
        <f aca="false">AS28+AS29</f>
        <v>12586</v>
      </c>
      <c r="AT131" s="14" t="n">
        <f aca="false">AT28+AT29</f>
        <v>3142</v>
      </c>
      <c r="AU131" s="14" t="n">
        <f aca="false">AU28+AU29</f>
        <v>2497</v>
      </c>
      <c r="AV131" s="14" t="n">
        <f aca="false">AV28+AV29</f>
        <v>157</v>
      </c>
      <c r="AW131" s="14" t="n">
        <f aca="false">AW28+AW29</f>
        <v>0</v>
      </c>
      <c r="AX131" s="16"/>
      <c r="AY131" s="14" t="n">
        <f aca="false">AY28+AY29</f>
        <v>154021</v>
      </c>
      <c r="AZ131" s="14" t="n">
        <f aca="false">AZ28+AZ29</f>
        <v>118623</v>
      </c>
      <c r="BA131" s="14" t="n">
        <f aca="false">BA28+BA29</f>
        <v>136453</v>
      </c>
      <c r="BB131" s="14" t="n">
        <f aca="false">BB28+BB29</f>
        <v>27363</v>
      </c>
      <c r="BC131" s="14" t="n">
        <f aca="false">BC28+BC29</f>
        <v>150314</v>
      </c>
      <c r="BD131" s="16"/>
      <c r="BE131" s="14" t="n">
        <f aca="false">BE28+BE29</f>
        <v>586774</v>
      </c>
    </row>
    <row r="132" customFormat="false" ht="12.75" hidden="false" customHeight="true" outlineLevel="0" collapsed="false">
      <c r="A132" s="1" t="s">
        <v>100</v>
      </c>
      <c r="B132" s="1" t="n">
        <v>2025</v>
      </c>
      <c r="C132" s="17" t="s">
        <v>92</v>
      </c>
      <c r="D132" s="14" t="n">
        <f aca="false">D30+D31</f>
        <v>33271</v>
      </c>
      <c r="E132" s="14" t="n">
        <f aca="false">E30+E31</f>
        <v>10949</v>
      </c>
      <c r="F132" s="14" t="n">
        <f aca="false">F30+F31</f>
        <v>27334</v>
      </c>
      <c r="G132" s="14" t="n">
        <f aca="false">G30+G31</f>
        <v>40044</v>
      </c>
      <c r="H132" s="14" t="n">
        <f aca="false">H30+H31</f>
        <v>20922</v>
      </c>
      <c r="I132" s="14" t="n">
        <f aca="false">I30+I31</f>
        <v>60949</v>
      </c>
      <c r="J132" s="14" t="n">
        <f aca="false">J30+J31</f>
        <v>46637</v>
      </c>
      <c r="K132" s="14" t="n">
        <f aca="false">K30+K31</f>
        <v>12210</v>
      </c>
      <c r="L132" s="14" t="n">
        <f aca="false">L30+L31</f>
        <v>8933</v>
      </c>
      <c r="M132" s="14" t="n">
        <f aca="false">M30+M31</f>
        <v>14009</v>
      </c>
      <c r="N132" s="18"/>
      <c r="O132" s="14" t="n">
        <f aca="false">O30+O31</f>
        <v>18602</v>
      </c>
      <c r="P132" s="14" t="n">
        <f aca="false">P30+P31</f>
        <v>16471</v>
      </c>
      <c r="Q132" s="14" t="n">
        <f aca="false">Q30+Q31</f>
        <v>44762</v>
      </c>
      <c r="R132" s="14" t="n">
        <f aca="false">R30+R31</f>
        <v>4294</v>
      </c>
      <c r="S132" s="14" t="n">
        <f aca="false">S30+S31</f>
        <v>22419</v>
      </c>
      <c r="T132" s="14" t="n">
        <f aca="false">T30+T31</f>
        <v>9391</v>
      </c>
      <c r="U132" s="14" t="n">
        <f aca="false">U30+U31</f>
        <v>13998</v>
      </c>
      <c r="V132" s="14" t="n">
        <f aca="false">V30+V31</f>
        <v>10329</v>
      </c>
      <c r="W132" s="14" t="n">
        <f aca="false">W30+W31</f>
        <v>17145</v>
      </c>
      <c r="X132" s="14" t="n">
        <f aca="false">X30+X31</f>
        <v>6473</v>
      </c>
      <c r="Y132" s="14" t="n">
        <f aca="false">Y30+Y31</f>
        <v>0</v>
      </c>
      <c r="Z132" s="18"/>
      <c r="AA132" s="14" t="n">
        <f aca="false">AA30+AA31</f>
        <v>198</v>
      </c>
      <c r="AB132" s="14" t="n">
        <f aca="false">AB30+AB31</f>
        <v>8234</v>
      </c>
      <c r="AC132" s="18"/>
      <c r="AD132" s="14" t="n">
        <f aca="false">AD30+AD31</f>
        <v>17815</v>
      </c>
      <c r="AE132" s="14" t="n">
        <f aca="false">AE30+AE31</f>
        <v>36820</v>
      </c>
      <c r="AF132" s="14" t="n">
        <f aca="false">AF30+AF31</f>
        <v>32534</v>
      </c>
      <c r="AG132" s="14" t="n">
        <f aca="false">AG30+AG31</f>
        <v>43325</v>
      </c>
      <c r="AH132" s="14" t="n">
        <f aca="false">AH30+AH31</f>
        <v>76048</v>
      </c>
      <c r="AI132" s="14" t="n">
        <f aca="false">AI30+AI31</f>
        <v>45328</v>
      </c>
      <c r="AJ132" s="14" t="n">
        <f aca="false">AJ30+AJ31</f>
        <v>35197</v>
      </c>
      <c r="AK132" s="18"/>
      <c r="AL132" s="14" t="n">
        <f aca="false">AL30+AL31</f>
        <v>13972</v>
      </c>
      <c r="AM132" s="14" t="n">
        <f aca="false">AM30+AM31</f>
        <v>5707</v>
      </c>
      <c r="AN132" s="14" t="n">
        <f aca="false">AN30+AN31</f>
        <v>12042</v>
      </c>
      <c r="AO132" s="14" t="n">
        <f aca="false">AO30+AO31</f>
        <v>26472</v>
      </c>
      <c r="AP132" s="14" t="n">
        <f aca="false">AP30+AP31</f>
        <v>11496</v>
      </c>
      <c r="AQ132" s="14" t="n">
        <f aca="false">AQ30+AQ31</f>
        <v>12037</v>
      </c>
      <c r="AR132" s="14" t="n">
        <f aca="false">AR30+AR31</f>
        <v>12523</v>
      </c>
      <c r="AS132" s="14" t="n">
        <f aca="false">AS30+AS31</f>
        <v>6554</v>
      </c>
      <c r="AT132" s="14" t="n">
        <f aca="false">AT30+AT31</f>
        <v>908</v>
      </c>
      <c r="AU132" s="14" t="n">
        <f aca="false">AU30+AU31</f>
        <v>1703</v>
      </c>
      <c r="AV132" s="14" t="n">
        <f aca="false">AV30+AV31</f>
        <v>389</v>
      </c>
      <c r="AW132" s="14" t="n">
        <f aca="false">AW30+AW31</f>
        <v>0</v>
      </c>
      <c r="AX132" s="16"/>
      <c r="AY132" s="14" t="n">
        <f aca="false">AY30+AY31</f>
        <v>103803</v>
      </c>
      <c r="AZ132" s="14" t="n">
        <f aca="false">AZ30+AZ31</f>
        <v>275258</v>
      </c>
      <c r="BA132" s="14" t="n">
        <f aca="false">BA30+BA31</f>
        <v>163884</v>
      </c>
      <c r="BB132" s="14" t="n">
        <f aca="false">BB30+BB31</f>
        <v>8432</v>
      </c>
      <c r="BC132" s="14" t="n">
        <f aca="false">BC30+BC31</f>
        <v>287067</v>
      </c>
      <c r="BD132" s="16"/>
      <c r="BE132" s="14" t="n">
        <f aca="false">BE30+BE31</f>
        <v>838444</v>
      </c>
    </row>
    <row r="133" customFormat="false" ht="12.75" hidden="false" customHeight="true" outlineLevel="0" collapsed="false">
      <c r="A133" s="1" t="s">
        <v>101</v>
      </c>
      <c r="B133" s="1" t="n">
        <v>2025</v>
      </c>
      <c r="C133" s="17" t="s">
        <v>94</v>
      </c>
      <c r="D133" s="16" t="n">
        <f aca="false">D126+D127</f>
        <v>0.263109982004869</v>
      </c>
      <c r="E133" s="16" t="n">
        <f aca="false">E126+E127</f>
        <v>0.277184657967576</v>
      </c>
      <c r="F133" s="16" t="n">
        <f aca="false">F126+F127</f>
        <v>0.220505697601905</v>
      </c>
      <c r="G133" s="16" t="n">
        <f aca="false">G126+G127</f>
        <v>0.257853332127679</v>
      </c>
      <c r="H133" s="16" t="n">
        <f aca="false">H126+H127</f>
        <v>0.351776171015404</v>
      </c>
      <c r="I133" s="16" t="n">
        <f aca="false">I126+I127</f>
        <v>0.305873069799555</v>
      </c>
      <c r="J133" s="16" t="n">
        <f aca="false">J126+J127</f>
        <v>0.358857264231096</v>
      </c>
      <c r="K133" s="16" t="n">
        <f aca="false">K126+K127</f>
        <v>0.210526315789474</v>
      </c>
      <c r="L133" s="16" t="n">
        <f aca="false">L126+L127</f>
        <v>0.284730562895348</v>
      </c>
      <c r="M133" s="16" t="n">
        <f aca="false">M126+M127</f>
        <v>0.26175580221998</v>
      </c>
      <c r="N133" s="18"/>
      <c r="O133" s="16" t="n">
        <f aca="false">O126+O127</f>
        <v>0.526976292921623</v>
      </c>
      <c r="P133" s="16" t="n">
        <f aca="false">P126+P127</f>
        <v>0.301979830935785</v>
      </c>
      <c r="Q133" s="16" t="n">
        <f aca="false">Q126+Q127</f>
        <v>0.400008716685916</v>
      </c>
      <c r="R133" s="16" t="n">
        <f aca="false">R126+R127</f>
        <v>0.127975428717686</v>
      </c>
      <c r="S133" s="16" t="n">
        <f aca="false">S126+S127</f>
        <v>0.382748319641524</v>
      </c>
      <c r="T133" s="16" t="n">
        <f aca="false">T126+T127</f>
        <v>0.432102046239702</v>
      </c>
      <c r="U133" s="16" t="n">
        <f aca="false">U126+U127</f>
        <v>0.322578252484795</v>
      </c>
      <c r="V133" s="16" t="n">
        <f aca="false">V126+V127</f>
        <v>0.454454295967912</v>
      </c>
      <c r="W133" s="16" t="n">
        <f aca="false">W126+W127</f>
        <v>0.481920247773906</v>
      </c>
      <c r="X133" s="16" t="n">
        <f aca="false">X126+X127</f>
        <v>0.267095648380412</v>
      </c>
      <c r="Y133" s="16" t="e">
        <f aca="false">Y126+Y127</f>
        <v>#DIV/0!</v>
      </c>
      <c r="Z133" s="18"/>
      <c r="AA133" s="16" t="n">
        <f aca="false">AA126+AA127</f>
        <v>0.867290926703261</v>
      </c>
      <c r="AB133" s="16" t="n">
        <f aca="false">AB126+AB127</f>
        <v>0.727576509511993</v>
      </c>
      <c r="AC133" s="18"/>
      <c r="AD133" s="16" t="n">
        <f aca="false">AD126+AD127</f>
        <v>0.340575954989636</v>
      </c>
      <c r="AE133" s="16" t="n">
        <f aca="false">AE126+AE127</f>
        <v>0.385180790401793</v>
      </c>
      <c r="AF133" s="16" t="n">
        <f aca="false">AF126+AF127</f>
        <v>0.351074509220702</v>
      </c>
      <c r="AG133" s="16" t="n">
        <f aca="false">AG126+AG127</f>
        <v>0.34712324004867</v>
      </c>
      <c r="AH133" s="16" t="n">
        <f aca="false">AH126+AH127</f>
        <v>0.299132355823193</v>
      </c>
      <c r="AI133" s="16" t="n">
        <f aca="false">AI126+AI127</f>
        <v>0.338415644680146</v>
      </c>
      <c r="AJ133" s="16" t="n">
        <f aca="false">AJ126+AJ127</f>
        <v>0.330050537773746</v>
      </c>
      <c r="AK133" s="18"/>
      <c r="AL133" s="16" t="n">
        <f aca="false">AL126+AL127</f>
        <v>0.474466489397968</v>
      </c>
      <c r="AM133" s="16" t="n">
        <f aca="false">AM126+AM127</f>
        <v>0.647908715632059</v>
      </c>
      <c r="AN133" s="16" t="n">
        <f aca="false">AN126+AN127</f>
        <v>0.504742573870955</v>
      </c>
      <c r="AO133" s="16" t="n">
        <f aca="false">AO126+AO127</f>
        <v>0.572899682485197</v>
      </c>
      <c r="AP133" s="16" t="n">
        <f aca="false">AP126+AP127</f>
        <v>0.486421629404472</v>
      </c>
      <c r="AQ133" s="16" t="n">
        <f aca="false">AQ126+AQ127</f>
        <v>0.394392917369309</v>
      </c>
      <c r="AR133" s="16" t="n">
        <f aca="false">AR126+AR127</f>
        <v>0.672856891392361</v>
      </c>
      <c r="AS133" s="16" t="n">
        <f aca="false">AS126+AS127</f>
        <v>0.613861386138614</v>
      </c>
      <c r="AT133" s="16" t="n">
        <f aca="false">AT126+AT127</f>
        <v>0.775802469135803</v>
      </c>
      <c r="AU133" s="16" t="n">
        <f aca="false">AU126+AU127</f>
        <v>0.590446914164105</v>
      </c>
      <c r="AV133" s="16" t="n">
        <f aca="false">AV126+AV127</f>
        <v>0.27304347826087</v>
      </c>
      <c r="AW133" s="16" t="e">
        <f aca="false">AW126+AW127</f>
        <v>#DIV/0!</v>
      </c>
      <c r="AX133" s="16"/>
      <c r="AY133" s="16" t="n">
        <f aca="false">AY126+AY127</f>
        <v>0.56196251418397</v>
      </c>
      <c r="AZ133" s="16" t="n">
        <f aca="false">AZ126+AZ127</f>
        <v>0.293003369132424</v>
      </c>
      <c r="BA133" s="16" t="n">
        <f aca="false">BA126+BA127</f>
        <v>0.40622376498187</v>
      </c>
      <c r="BB133" s="16" t="n">
        <f aca="false">BB126+BB127</f>
        <v>0.751338587001291</v>
      </c>
      <c r="BC133" s="16" t="n">
        <f aca="false">BC126+BC127</f>
        <v>0.336883390483875</v>
      </c>
      <c r="BD133" s="16"/>
      <c r="BE133" s="16" t="n">
        <f aca="false">BE126+BE127</f>
        <v>0.391850379713699</v>
      </c>
    </row>
    <row r="134" customFormat="false" ht="12.75" hidden="false" customHeight="true" outlineLevel="0" collapsed="false">
      <c r="A134" s="1" t="s">
        <v>102</v>
      </c>
      <c r="B134" s="1" t="n">
        <v>2025</v>
      </c>
      <c r="C134" s="17" t="s">
        <v>94</v>
      </c>
      <c r="D134" s="16" t="n">
        <f aca="false">D128+D129</f>
        <v>0.704371758230126</v>
      </c>
      <c r="E134" s="16" t="n">
        <f aca="false">E128+E129</f>
        <v>0.618482743037903</v>
      </c>
      <c r="F134" s="16" t="n">
        <f aca="false">F128+F129</f>
        <v>0.774817166506038</v>
      </c>
      <c r="G134" s="16" t="n">
        <f aca="false">G128+G129</f>
        <v>0.724188443801429</v>
      </c>
      <c r="H134" s="16" t="n">
        <f aca="false">H128+H129</f>
        <v>0.597925180760767</v>
      </c>
      <c r="I134" s="16" t="n">
        <f aca="false">I128+I129</f>
        <v>0.667956206779401</v>
      </c>
      <c r="J134" s="16" t="n">
        <f aca="false">J128+J129</f>
        <v>0.619119052676296</v>
      </c>
      <c r="K134" s="16" t="n">
        <f aca="false">K128+K129</f>
        <v>0.789473684210526</v>
      </c>
      <c r="L134" s="16" t="n">
        <f aca="false">L128+L129</f>
        <v>0.715269437104652</v>
      </c>
      <c r="M134" s="16" t="n">
        <f aca="false">M128+M129</f>
        <v>0.706811301715439</v>
      </c>
      <c r="N134" s="18"/>
      <c r="O134" s="16" t="n">
        <f aca="false">O128+O129</f>
        <v>0.392347928794398</v>
      </c>
      <c r="P134" s="16" t="n">
        <f aca="false">P128+P129</f>
        <v>0.610670324781255</v>
      </c>
      <c r="Q134" s="16" t="n">
        <f aca="false">Q128+Q129</f>
        <v>0.487720368715814</v>
      </c>
      <c r="R134" s="16" t="n">
        <f aca="false">R128+R129</f>
        <v>0.549526490913745</v>
      </c>
      <c r="S134" s="16" t="n">
        <f aca="false">S128+S129</f>
        <v>0.492443878223433</v>
      </c>
      <c r="T134" s="16" t="n">
        <f aca="false">T128+T129</f>
        <v>0.415935866772965</v>
      </c>
      <c r="U134" s="16" t="n">
        <f aca="false">U128+U129</f>
        <v>0.519136626613262</v>
      </c>
      <c r="V134" s="16" t="n">
        <f aca="false">V128+V129</f>
        <v>0.545123495883471</v>
      </c>
      <c r="W134" s="16" t="n">
        <f aca="false">W128+W129</f>
        <v>0.442508710801394</v>
      </c>
      <c r="X134" s="16" t="n">
        <f aca="false">X128+X129</f>
        <v>0.705965754171665</v>
      </c>
      <c r="Y134" s="16" t="e">
        <f aca="false">Y128+Y129</f>
        <v>#DIV/0!</v>
      </c>
      <c r="Z134" s="18"/>
      <c r="AA134" s="16" t="n">
        <f aca="false">AA128+AA129</f>
        <v>0.0319664191152728</v>
      </c>
      <c r="AB134" s="16" t="n">
        <f aca="false">AB128+AB129</f>
        <v>0.272423490488007</v>
      </c>
      <c r="AC134" s="18"/>
      <c r="AD134" s="16" t="n">
        <f aca="false">AD128+AD129</f>
        <v>0.659424045010364</v>
      </c>
      <c r="AE134" s="16" t="n">
        <f aca="false">AE128+AE129</f>
        <v>0.60680971686608</v>
      </c>
      <c r="AF134" s="16" t="n">
        <f aca="false">AF128+AF129</f>
        <v>0.604811124330756</v>
      </c>
      <c r="AG134" s="16" t="n">
        <f aca="false">AG128+AG129</f>
        <v>0.627571122312996</v>
      </c>
      <c r="AH134" s="16" t="n">
        <f aca="false">AH128+AH129</f>
        <v>0.677439469792799</v>
      </c>
      <c r="AI134" s="16" t="n">
        <f aca="false">AI128+AI129</f>
        <v>0.653225922670087</v>
      </c>
      <c r="AJ134" s="16" t="n">
        <f aca="false">AJ128+AJ129</f>
        <v>0.651567041226235</v>
      </c>
      <c r="AK134" s="18"/>
      <c r="AL134" s="16" t="n">
        <f aca="false">AL128+AL129</f>
        <v>0.476307356650985</v>
      </c>
      <c r="AM134" s="16" t="n">
        <f aca="false">AM128+AM129</f>
        <v>0.222252511877872</v>
      </c>
      <c r="AN134" s="16" t="n">
        <f aca="false">AN128+AN129</f>
        <v>0.470041765876888</v>
      </c>
      <c r="AO134" s="16" t="n">
        <f aca="false">AO128+AO129</f>
        <v>0.378614948940187</v>
      </c>
      <c r="AP134" s="16" t="n">
        <f aca="false">AP128+AP129</f>
        <v>0.459784825820901</v>
      </c>
      <c r="AQ134" s="16" t="n">
        <f aca="false">AQ128+AQ129</f>
        <v>0.507462057335582</v>
      </c>
      <c r="AR134" s="16" t="n">
        <f aca="false">AR128+AR129</f>
        <v>0.275545678577715</v>
      </c>
      <c r="AS134" s="16" t="n">
        <f aca="false">AS128+AS129</f>
        <v>0.31966053748232</v>
      </c>
      <c r="AT134" s="16" t="n">
        <f aca="false">AT128+AT129</f>
        <v>0.224197530864198</v>
      </c>
      <c r="AU134" s="16" t="n">
        <f aca="false">AU128+AU129</f>
        <v>0.402695672735871</v>
      </c>
      <c r="AV134" s="16" t="n">
        <f aca="false">AV128+AV129</f>
        <v>0.676521739130435</v>
      </c>
      <c r="AW134" s="16" t="e">
        <f aca="false">AW128+AW129</f>
        <v>#DIV/0!</v>
      </c>
      <c r="AX134" s="16"/>
      <c r="AY134" s="16" t="n">
        <f aca="false">AY128+AY129</f>
        <v>0.378736632406222</v>
      </c>
      <c r="AZ134" s="16" t="n">
        <f aca="false">AZ128+AZ129</f>
        <v>0.679897839210378</v>
      </c>
      <c r="BA134" s="16" t="n">
        <f aca="false">BA128+BA129</f>
        <v>0.487886492054325</v>
      </c>
      <c r="BB134" s="16" t="n">
        <f aca="false">BB128+BB129</f>
        <v>0.231527499382191</v>
      </c>
      <c r="BC134" s="16" t="n">
        <f aca="false">BC128+BC129</f>
        <v>0.643373899011632</v>
      </c>
      <c r="BD134" s="16"/>
      <c r="BE134" s="16" t="n">
        <f aca="false">BE128+BE129</f>
        <v>0.559916764833944</v>
      </c>
    </row>
    <row r="135" customFormat="false" ht="12.75" hidden="false" customHeight="true" outlineLevel="0" collapsed="false">
      <c r="A135" s="1" t="s">
        <v>99</v>
      </c>
      <c r="B135" s="1" t="n">
        <v>2025</v>
      </c>
      <c r="C135" s="17" t="s">
        <v>103</v>
      </c>
      <c r="D135" s="19" t="n">
        <f aca="false">(D28+D29)/D24</f>
        <v>0.382942010229864</v>
      </c>
      <c r="E135" s="19" t="n">
        <f aca="false">(E28+E29)/E24</f>
        <v>0.45633776620478</v>
      </c>
      <c r="F135" s="19" t="n">
        <f aca="false">(F28+F29)/F24</f>
        <v>0.341513741329353</v>
      </c>
      <c r="G135" s="19" t="n">
        <f aca="false">(G28+G29)/G24</f>
        <v>0.401792256100998</v>
      </c>
      <c r="H135" s="19" t="n">
        <f aca="false">(H28+H29)/H24</f>
        <v>0.53982106832734</v>
      </c>
      <c r="I135" s="19" t="n">
        <f aca="false">(I28+I29)/I24</f>
        <v>0.533081213232485</v>
      </c>
      <c r="J135" s="19" t="n">
        <f aca="false">(J28+J29)/J24</f>
        <v>0.531310193010732</v>
      </c>
      <c r="K135" s="19" t="n">
        <f aca="false">(K28+K29)/K24</f>
        <v>0.280230656683019</v>
      </c>
      <c r="L135" s="19" t="n">
        <f aca="false">(L28+L29)/L24</f>
        <v>0.466116135797614</v>
      </c>
      <c r="M135" s="19" t="n">
        <f aca="false">(M28+M29)/M24</f>
        <v>0.391872497922804</v>
      </c>
      <c r="N135" s="18"/>
      <c r="O135" s="19" t="n">
        <f aca="false">(O28+O29)/O24</f>
        <v>0.601251353627722</v>
      </c>
      <c r="P135" s="19" t="n">
        <f aca="false">(P28+P29)/P24</f>
        <v>0.407861792689034</v>
      </c>
      <c r="Q135" s="19" t="n">
        <f aca="false">(Q28+Q29)/Q24</f>
        <v>0.722904851921865</v>
      </c>
      <c r="R135" s="19" t="n">
        <f aca="false">(R28+R29)/R24</f>
        <v>0.148038490007402</v>
      </c>
      <c r="S135" s="19" t="n">
        <f aca="false">(S28+S29)/S24</f>
        <v>0.599931141332415</v>
      </c>
      <c r="T135" s="19" t="n">
        <f aca="false">(T28+T29)/T24</f>
        <v>0.595640759509128</v>
      </c>
      <c r="U135" s="19" t="n">
        <f aca="false">(U28+U29)/U24</f>
        <v>0.483141698605788</v>
      </c>
      <c r="V135" s="19" t="n">
        <f aca="false">(V28+V29)/V24</f>
        <v>0.799090571640683</v>
      </c>
      <c r="W135" s="19" t="n">
        <f aca="false">(W28+W29)/W24</f>
        <v>0.742336898183119</v>
      </c>
      <c r="X135" s="19" t="n">
        <f aca="false">(X28+X29)/X24</f>
        <v>0.392782678428228</v>
      </c>
      <c r="Y135" s="19" t="e">
        <f aca="false">(Y28+Y29)/Y24</f>
        <v>#DIV/0!</v>
      </c>
      <c r="Z135" s="18"/>
      <c r="AA135" s="19" t="n">
        <f aca="false">(AA28+AA29)/AA24</f>
        <v>0.880800131169044</v>
      </c>
      <c r="AB135" s="19" t="n">
        <f aca="false">(AB28+AB29)/AB24</f>
        <v>0.820406640552136</v>
      </c>
      <c r="AC135" s="18"/>
      <c r="AD135" s="19" t="n">
        <f aca="false">(AD28+AD29)/AD24</f>
        <v>0.354252492973472</v>
      </c>
      <c r="AE135" s="19" t="n">
        <f aca="false">(AE28+AE29)/AE24</f>
        <v>0.956379409116949</v>
      </c>
      <c r="AF135" s="19" t="n">
        <f aca="false">(AF28+AF29)/AF24</f>
        <v>0.855802782435311</v>
      </c>
      <c r="AG135" s="19" t="n">
        <f aca="false">(AG28+AG29)/AG24</f>
        <v>0.985767174002468</v>
      </c>
      <c r="AH135" s="19" t="n">
        <f aca="false">(AH28+AH29)/AH24</f>
        <v>0.948667966211826</v>
      </c>
      <c r="AI135" s="19" t="n">
        <f aca="false">(AI28+AI29)/AI24</f>
        <v>0.967573135558302</v>
      </c>
      <c r="AJ135" s="19" t="n">
        <f aca="false">(AJ28+AJ29)/AJ24</f>
        <v>0.966708236187171</v>
      </c>
      <c r="AK135" s="18"/>
      <c r="AL135" s="19" t="n">
        <f aca="false">(AL28+AL29)/AL24</f>
        <v>0.764599241883206</v>
      </c>
      <c r="AM135" s="19" t="n">
        <f aca="false">(AM28+AM29)/AM24</f>
        <v>0.882178270321862</v>
      </c>
      <c r="AN135" s="19" t="n">
        <f aca="false">(AN28+AN29)/AN24</f>
        <v>0.580959654955522</v>
      </c>
      <c r="AO135" s="19" t="n">
        <f aca="false">(AO28+AO29)/AO24</f>
        <v>0.682001600463113</v>
      </c>
      <c r="AP135" s="19" t="n">
        <f aca="false">(AP28+AP29)/AP24</f>
        <v>0.706682161533992</v>
      </c>
      <c r="AQ135" s="19" t="n">
        <f aca="false">(AQ28+AQ29)/AQ24</f>
        <v>0.513249574806606</v>
      </c>
      <c r="AR135" s="19" t="n">
        <f aca="false">(AR28+AR29)/AR24</f>
        <v>1.00990752972259</v>
      </c>
      <c r="AS135" s="19" t="n">
        <f aca="false">(AS28+AS29)/AS24</f>
        <v>0.877073170731707</v>
      </c>
      <c r="AT135" s="19" t="n">
        <f aca="false">(AT28+AT29)/AT24</f>
        <v>0.861057824061387</v>
      </c>
      <c r="AU135" s="19" t="n">
        <f aca="false">(AU28+AU29)/AU24</f>
        <v>0.678532608695652</v>
      </c>
      <c r="AV135" s="19" t="n">
        <f aca="false">(AV28+AV29)/AV24</f>
        <v>0.365967365967366</v>
      </c>
      <c r="AW135" s="19" t="e">
        <f aca="false">(AW28+AW29)/AW24</f>
        <v>#DIV/0!</v>
      </c>
      <c r="AX135" s="16"/>
      <c r="AY135" s="19" t="n">
        <f aca="false">(AY28+AY29)/AY24</f>
        <v>0.748117817348138</v>
      </c>
      <c r="AZ135" s="19" t="n">
        <f aca="false">(AZ28+AZ29)/AZ24</f>
        <v>0.456252836603922</v>
      </c>
      <c r="BA135" s="19" t="n">
        <f aca="false">(BA28+BA29)/BA24</f>
        <v>0.607389107742984</v>
      </c>
      <c r="BB135" s="19" t="n">
        <f aca="false">(BB28+BB29)/BB24</f>
        <v>0.831601021152444</v>
      </c>
      <c r="BC135" s="19" t="n">
        <f aca="false">(BC28+BC29)/BC24</f>
        <v>0.859438072476529</v>
      </c>
      <c r="BD135" s="16"/>
      <c r="BE135" s="19" t="n">
        <f aca="false">(BE28+BE29)/BE24</f>
        <v>0.653183855803386</v>
      </c>
    </row>
    <row r="136" customFormat="false" ht="12.75" hidden="false" customHeight="true" outlineLevel="0" collapsed="false">
      <c r="A136" s="1" t="s">
        <v>104</v>
      </c>
      <c r="B136" s="1" t="n">
        <v>2025</v>
      </c>
      <c r="C136" s="17" t="s">
        <v>103</v>
      </c>
      <c r="D136" s="19" t="n">
        <f aca="false">D28/D24</f>
        <v>0.221359462624022</v>
      </c>
      <c r="E136" s="19" t="n">
        <f aca="false">E28/E24</f>
        <v>0.45633776620478</v>
      </c>
      <c r="F136" s="19" t="n">
        <f aca="false">F28/F24</f>
        <v>0.321933444551761</v>
      </c>
      <c r="G136" s="19" t="n">
        <f aca="false">G28/G24</f>
        <v>0.194471059009187</v>
      </c>
      <c r="H136" s="19" t="n">
        <f aca="false">H28/H24</f>
        <v>0.335716165248662</v>
      </c>
      <c r="I136" s="19" t="n">
        <f aca="false">I28/I24</f>
        <v>0.412311864924746</v>
      </c>
      <c r="J136" s="19" t="n">
        <f aca="false">J28/J24</f>
        <v>0.36522662054326</v>
      </c>
      <c r="K136" s="19" t="n">
        <f aca="false">K28/K24</f>
        <v>0.231603408210689</v>
      </c>
      <c r="L136" s="19" t="n">
        <f aca="false">L28/L24</f>
        <v>0.277100537422991</v>
      </c>
      <c r="M136" s="19" t="n">
        <f aca="false">M28/M24</f>
        <v>0.0424503361281064</v>
      </c>
      <c r="N136" s="18"/>
      <c r="O136" s="19" t="n">
        <f aca="false">O28/O24</f>
        <v>0.588665623871977</v>
      </c>
      <c r="P136" s="19" t="n">
        <f aca="false">P28/P24</f>
        <v>0.145468202303455</v>
      </c>
      <c r="Q136" s="19" t="n">
        <f aca="false">Q28/Q24</f>
        <v>0.555056710775047</v>
      </c>
      <c r="R136" s="19" t="n">
        <f aca="false">R28/R24</f>
        <v>0.0544781643227239</v>
      </c>
      <c r="S136" s="19" t="n">
        <f aca="false">S28/S24</f>
        <v>0.334549836460665</v>
      </c>
      <c r="T136" s="19" t="n">
        <f aca="false">T28/T24</f>
        <v>0.327858843641248</v>
      </c>
      <c r="U136" s="19" t="n">
        <f aca="false">U28/U24</f>
        <v>0.21451980225518</v>
      </c>
      <c r="V136" s="19" t="n">
        <f aca="false">V28/V24</f>
        <v>0.777004454342984</v>
      </c>
      <c r="W136" s="19" t="n">
        <f aca="false">W28/W24</f>
        <v>0.320319643780066</v>
      </c>
      <c r="X136" s="19" t="n">
        <f aca="false">X28/X24</f>
        <v>0.265437048917402</v>
      </c>
      <c r="Y136" s="19" t="e">
        <f aca="false">Y28/Y24</f>
        <v>#DIV/0!</v>
      </c>
      <c r="Z136" s="18"/>
      <c r="AA136" s="19" t="n">
        <f aca="false">AA28/AA24</f>
        <v>0.762420068863748</v>
      </c>
      <c r="AB136" s="19" t="n">
        <f aca="false">AB28/AB24</f>
        <v>0.820220108188771</v>
      </c>
      <c r="AC136" s="18"/>
      <c r="AD136" s="19" t="n">
        <f aca="false">AD28/AD24</f>
        <v>0.218650136680399</v>
      </c>
      <c r="AE136" s="19" t="n">
        <f aca="false">AE28/AE24</f>
        <v>0.539692282510844</v>
      </c>
      <c r="AF136" s="19" t="n">
        <f aca="false">AF28/AF24</f>
        <v>0.574976208818598</v>
      </c>
      <c r="AG136" s="19" t="n">
        <f aca="false">AG28/AG24</f>
        <v>0.599053887289181</v>
      </c>
      <c r="AH136" s="19" t="n">
        <f aca="false">AH28/AH24</f>
        <v>0.622001864564794</v>
      </c>
      <c r="AI136" s="19" t="n">
        <f aca="false">AI28/AI24</f>
        <v>0.549320148331273</v>
      </c>
      <c r="AJ136" s="19" t="n">
        <f aca="false">AJ28/AJ24</f>
        <v>0.650653364420105</v>
      </c>
      <c r="AK136" s="18"/>
      <c r="AL136" s="19" t="n">
        <f aca="false">AL28/AL24</f>
        <v>0.684777234521782</v>
      </c>
      <c r="AM136" s="19" t="n">
        <f aca="false">AM28/AM24</f>
        <v>0.849832970995281</v>
      </c>
      <c r="AN136" s="19" t="n">
        <f aca="false">AN28/AN24</f>
        <v>0.580959654955522</v>
      </c>
      <c r="AO136" s="19" t="n">
        <f aca="false">AO28/AO24</f>
        <v>0.682001600463113</v>
      </c>
      <c r="AP136" s="19" t="n">
        <f aca="false">AP28/AP24</f>
        <v>0.609819872167345</v>
      </c>
      <c r="AQ136" s="19" t="n">
        <f aca="false">AQ28/AQ24</f>
        <v>0.43814121907061</v>
      </c>
      <c r="AR136" s="19" t="n">
        <f aca="false">AR28/AR24</f>
        <v>0.570970937912814</v>
      </c>
      <c r="AS136" s="19" t="n">
        <f aca="false">AS28/AS24</f>
        <v>0.841463414634146</v>
      </c>
      <c r="AT136" s="19" t="n">
        <f aca="false">AT28/AT24</f>
        <v>0.661277062208824</v>
      </c>
      <c r="AU136" s="19" t="n">
        <f aca="false">AU28/AU24</f>
        <v>0.504891304347826</v>
      </c>
      <c r="AV136" s="19" t="n">
        <f aca="false">AV28/AV24</f>
        <v>0.365967365967366</v>
      </c>
      <c r="AW136" s="19" t="e">
        <f aca="false">AW28/AW24</f>
        <v>#DIV/0!</v>
      </c>
      <c r="AX136" s="16"/>
      <c r="AY136" s="19" t="n">
        <f aca="false">AY28/AY24</f>
        <v>0.649666307230496</v>
      </c>
      <c r="AZ136" s="19" t="n">
        <f aca="false">AZ28/AZ24</f>
        <v>0.305837827026778</v>
      </c>
      <c r="BA136" s="19" t="n">
        <f aca="false">BA28/BA24</f>
        <v>0.413776679797912</v>
      </c>
      <c r="BB136" s="19" t="n">
        <f aca="false">BB28/BB24</f>
        <v>0.809506442985655</v>
      </c>
      <c r="BC136" s="19" t="n">
        <f aca="false">BC28/BC24</f>
        <v>0.534414344360713</v>
      </c>
      <c r="BD136" s="16"/>
      <c r="BE136" s="19" t="n">
        <f aca="false">BE28/BE24</f>
        <v>0.474580025803464</v>
      </c>
    </row>
    <row r="137" customFormat="false" ht="12.75" hidden="false" customHeight="true" outlineLevel="0" collapsed="false">
      <c r="A137" s="1" t="s">
        <v>105</v>
      </c>
      <c r="B137" s="1" t="n">
        <v>2025</v>
      </c>
      <c r="C137" s="17" t="s">
        <v>103</v>
      </c>
      <c r="D137" s="19" t="n">
        <f aca="false">D29/D24</f>
        <v>0.161582547605842</v>
      </c>
      <c r="E137" s="19" t="n">
        <f aca="false">E29/E24</f>
        <v>0</v>
      </c>
      <c r="F137" s="19" t="n">
        <f aca="false">F29/F24</f>
        <v>0.0195802967775924</v>
      </c>
      <c r="G137" s="19" t="n">
        <f aca="false">G29/G24</f>
        <v>0.207321197091811</v>
      </c>
      <c r="H137" s="19" t="n">
        <f aca="false">H29/H24</f>
        <v>0.204104903078677</v>
      </c>
      <c r="I137" s="19" t="n">
        <f aca="false">I29/I24</f>
        <v>0.120769348307739</v>
      </c>
      <c r="J137" s="19" t="n">
        <f aca="false">J29/J24</f>
        <v>0.166083572467471</v>
      </c>
      <c r="K137" s="19" t="n">
        <f aca="false">K29/K24</f>
        <v>0.0486272484723298</v>
      </c>
      <c r="L137" s="19" t="n">
        <f aca="false">L29/L24</f>
        <v>0.189015598374623</v>
      </c>
      <c r="M137" s="19" t="n">
        <f aca="false">M29/M24</f>
        <v>0.349422161794698</v>
      </c>
      <c r="N137" s="18"/>
      <c r="O137" s="19" t="n">
        <f aca="false">O29/O24</f>
        <v>0.0125857297557454</v>
      </c>
      <c r="P137" s="19" t="n">
        <f aca="false">P29/P24</f>
        <v>0.262393590385578</v>
      </c>
      <c r="Q137" s="19" t="n">
        <f aca="false">Q29/Q24</f>
        <v>0.167848141146818</v>
      </c>
      <c r="R137" s="19" t="n">
        <f aca="false">R29/R24</f>
        <v>0.093560325684678</v>
      </c>
      <c r="S137" s="19" t="n">
        <f aca="false">S29/S24</f>
        <v>0.265381304871751</v>
      </c>
      <c r="T137" s="19" t="n">
        <f aca="false">T29/T24</f>
        <v>0.26778191586788</v>
      </c>
      <c r="U137" s="19" t="n">
        <f aca="false">U29/U24</f>
        <v>0.268621896350608</v>
      </c>
      <c r="V137" s="19" t="n">
        <f aca="false">V29/V24</f>
        <v>0.0220861172976986</v>
      </c>
      <c r="W137" s="19" t="n">
        <f aca="false">W29/W24</f>
        <v>0.422017254403053</v>
      </c>
      <c r="X137" s="19" t="n">
        <f aca="false">X29/X24</f>
        <v>0.127345629510826</v>
      </c>
      <c r="Y137" s="19" t="e">
        <f aca="false">Y29/Y24</f>
        <v>#DIV/0!</v>
      </c>
      <c r="Z137" s="18"/>
      <c r="AA137" s="19" t="n">
        <f aca="false">AA29/AA24</f>
        <v>0.118380062305296</v>
      </c>
      <c r="AB137" s="19" t="n">
        <f aca="false">AB29/AB24</f>
        <v>0.000186532363365044</v>
      </c>
      <c r="AC137" s="18"/>
      <c r="AD137" s="19" t="n">
        <f aca="false">AD29/AD24</f>
        <v>0.135602356293074</v>
      </c>
      <c r="AE137" s="19" t="n">
        <f aca="false">AE29/AE24</f>
        <v>0.416687126606105</v>
      </c>
      <c r="AF137" s="19" t="n">
        <f aca="false">AF29/AF24</f>
        <v>0.280826573616713</v>
      </c>
      <c r="AG137" s="19" t="n">
        <f aca="false">AG29/AG24</f>
        <v>0.386713286713287</v>
      </c>
      <c r="AH137" s="19" t="n">
        <f aca="false">AH29/AH24</f>
        <v>0.326666101647032</v>
      </c>
      <c r="AI137" s="19" t="n">
        <f aca="false">AI29/AI24</f>
        <v>0.418252987227029</v>
      </c>
      <c r="AJ137" s="19" t="n">
        <f aca="false">AJ29/AJ24</f>
        <v>0.316054871767066</v>
      </c>
      <c r="AK137" s="18"/>
      <c r="AL137" s="19" t="n">
        <f aca="false">AL29/AL24</f>
        <v>0.079822007361424</v>
      </c>
      <c r="AM137" s="19" t="n">
        <f aca="false">AM29/AM24</f>
        <v>0.0323452993265815</v>
      </c>
      <c r="AN137" s="19" t="n">
        <f aca="false">AN29/AN24</f>
        <v>0</v>
      </c>
      <c r="AO137" s="19" t="n">
        <f aca="false">AO29/AO24</f>
        <v>0</v>
      </c>
      <c r="AP137" s="19" t="n">
        <f aca="false">AP29/AP24</f>
        <v>0.0968622893666473</v>
      </c>
      <c r="AQ137" s="19" t="n">
        <f aca="false">AQ29/AQ24</f>
        <v>0.075108355735996</v>
      </c>
      <c r="AR137" s="19" t="n">
        <f aca="false">AR29/AR24</f>
        <v>0.438936591809775</v>
      </c>
      <c r="AS137" s="19" t="n">
        <f aca="false">AS29/AS24</f>
        <v>0.035609756097561</v>
      </c>
      <c r="AT137" s="19" t="n">
        <f aca="false">AT29/AT24</f>
        <v>0.199780761852562</v>
      </c>
      <c r="AU137" s="19" t="n">
        <f aca="false">AU29/AU24</f>
        <v>0.173641304347826</v>
      </c>
      <c r="AV137" s="19" t="n">
        <f aca="false">AV29/AV24</f>
        <v>0</v>
      </c>
      <c r="AW137" s="19" t="e">
        <f aca="false">AW29/AW24</f>
        <v>#DIV/0!</v>
      </c>
      <c r="AX137" s="16"/>
      <c r="AY137" s="19" t="n">
        <f aca="false">AY29/AY24</f>
        <v>0.0984515101176425</v>
      </c>
      <c r="AZ137" s="19" t="n">
        <f aca="false">AZ29/AZ24</f>
        <v>0.150415009577144</v>
      </c>
      <c r="BA137" s="19" t="n">
        <f aca="false">BA29/BA24</f>
        <v>0.193612427945071</v>
      </c>
      <c r="BB137" s="19" t="n">
        <f aca="false">BB29/BB24</f>
        <v>0.0220945781667882</v>
      </c>
      <c r="BC137" s="19" t="n">
        <f aca="false">BC29/BC24</f>
        <v>0.325023728115816</v>
      </c>
      <c r="BD137" s="16"/>
      <c r="BE137" s="19" t="n">
        <f aca="false">BE29/BE24</f>
        <v>0.178603829999922</v>
      </c>
    </row>
    <row r="138" customFormat="false" ht="12.75" hidden="false" customHeight="true" outlineLevel="0" collapsed="false">
      <c r="A138" s="1" t="s">
        <v>106</v>
      </c>
      <c r="B138" s="1" t="n">
        <v>2025</v>
      </c>
      <c r="C138" s="17" t="s">
        <v>92</v>
      </c>
      <c r="D138" s="19" t="n">
        <f aca="false">D125/D24</f>
        <v>1.4554446293215</v>
      </c>
      <c r="E138" s="19" t="n">
        <f aca="false">E125/E24</f>
        <v>1.64633125639356</v>
      </c>
      <c r="F138" s="19" t="n">
        <f aca="false">F125/F24</f>
        <v>1.54877513390113</v>
      </c>
      <c r="G138" s="19" t="n">
        <f aca="false">G125/G24</f>
        <v>1.55822014315505</v>
      </c>
      <c r="H138" s="19" t="n">
        <f aca="false">H125/H24</f>
        <v>1.53455837207263</v>
      </c>
      <c r="I138" s="19" t="n">
        <f aca="false">I125/I24</f>
        <v>1.74281839712736</v>
      </c>
      <c r="J138" s="19" t="n">
        <f aca="false">J125/J24</f>
        <v>1.48056134282008</v>
      </c>
      <c r="K138" s="19" t="n">
        <f aca="false">K125/K24</f>
        <v>1.33109561924434</v>
      </c>
      <c r="L138" s="19" t="n">
        <f aca="false">L125/L24</f>
        <v>1.63704286276052</v>
      </c>
      <c r="M138" s="19" t="n">
        <f aca="false">M125/M24</f>
        <v>1.49709192537201</v>
      </c>
      <c r="N138" s="18"/>
      <c r="O138" s="19" t="n">
        <f aca="false">O125/O24</f>
        <v>1.14094573456864</v>
      </c>
      <c r="P138" s="19" t="n">
        <f aca="false">P125/P24</f>
        <v>1.35062593890836</v>
      </c>
      <c r="Q138" s="19" t="n">
        <f aca="false">Q125/Q24</f>
        <v>1.80722274732199</v>
      </c>
      <c r="R138" s="19" t="n">
        <f aca="false">R125/R24</f>
        <v>1.15677276091784</v>
      </c>
      <c r="S138" s="19" t="n">
        <f aca="false">S125/S24</f>
        <v>1.5674298502324</v>
      </c>
      <c r="T138" s="19" t="n">
        <f aca="false">T125/T24</f>
        <v>1.37847243421454</v>
      </c>
      <c r="U138" s="19" t="n">
        <f aca="false">U125/U24</f>
        <v>1.49775037493751</v>
      </c>
      <c r="V138" s="19" t="n">
        <f aca="false">V125/V24</f>
        <v>1.75835189309577</v>
      </c>
      <c r="W138" s="19" t="n">
        <f aca="false">W125/W24</f>
        <v>1.54037291774341</v>
      </c>
      <c r="X138" s="19" t="n">
        <f aca="false">X125/X24</f>
        <v>1.47056936647955</v>
      </c>
      <c r="Y138" s="19" t="e">
        <f aca="false">Y125/Y24</f>
        <v>#DIV/0!</v>
      </c>
      <c r="Z138" s="18"/>
      <c r="AA138" s="19" t="n">
        <f aca="false">AA125/AA24</f>
        <v>1.01557632398754</v>
      </c>
      <c r="AB138" s="19" t="n">
        <f aca="false">AB125/AB24</f>
        <v>1.12758813654169</v>
      </c>
      <c r="AC138" s="18"/>
      <c r="AD138" s="19" t="n">
        <f aca="false">AD125/AD24</f>
        <v>1.04015708620491</v>
      </c>
      <c r="AE138" s="19" t="n">
        <f aca="false">AE125/AE24</f>
        <v>2.48293641050823</v>
      </c>
      <c r="AF138" s="19" t="n">
        <f aca="false">AF125/AF24</f>
        <v>2.43766710472652</v>
      </c>
      <c r="AG138" s="19" t="n">
        <f aca="false">AG125/AG24</f>
        <v>2.83981900452489</v>
      </c>
      <c r="AH138" s="19" t="n">
        <f aca="false">AH125/AH24</f>
        <v>3.17139870610504</v>
      </c>
      <c r="AI138" s="19" t="n">
        <f aca="false">AI125/AI24</f>
        <v>2.85912649361352</v>
      </c>
      <c r="AJ138" s="19" t="n">
        <f aca="false">AJ125/AJ24</f>
        <v>2.92897034105081</v>
      </c>
      <c r="AK138" s="18"/>
      <c r="AL138" s="19" t="n">
        <f aca="false">AL125/AL24</f>
        <v>1.61149261110806</v>
      </c>
      <c r="AM138" s="19" t="n">
        <f aca="false">AM125/AM24</f>
        <v>1.36157802640649</v>
      </c>
      <c r="AN138" s="19" t="n">
        <f aca="false">AN125/AN24</f>
        <v>1.15100188696199</v>
      </c>
      <c r="AO138" s="19" t="n">
        <f aca="false">AO125/AO24</f>
        <v>1.1904380842116</v>
      </c>
      <c r="AP138" s="19" t="n">
        <f aca="false">AP125/AP24</f>
        <v>1.45281812899477</v>
      </c>
      <c r="AQ138" s="19" t="n">
        <f aca="false">AQ125/AQ24</f>
        <v>1.30136610522851</v>
      </c>
      <c r="AR138" s="19" t="n">
        <f aca="false">AR125/AR24</f>
        <v>1.50092470277411</v>
      </c>
      <c r="AS138" s="19" t="n">
        <f aca="false">AS125/AS24</f>
        <v>1.42878048780488</v>
      </c>
      <c r="AT138" s="19" t="n">
        <f aca="false">AT125/AT24</f>
        <v>1.10989312140312</v>
      </c>
      <c r="AU138" s="19" t="n">
        <f aca="false">AU125/AU24</f>
        <v>1.1491847826087</v>
      </c>
      <c r="AV138" s="19" t="n">
        <f aca="false">AV125/AV24</f>
        <v>1.34032634032634</v>
      </c>
      <c r="AW138" s="19" t="e">
        <f aca="false">AW125/AW24</f>
        <v>#DIV/0!</v>
      </c>
      <c r="AX138" s="16"/>
      <c r="AY138" s="19" t="n">
        <f aca="false">AY125/AY24</f>
        <v>1.33125928948212</v>
      </c>
      <c r="AZ138" s="19" t="n">
        <f aca="false">AZ125/AZ24</f>
        <v>1.5571590113618</v>
      </c>
      <c r="BA138" s="19" t="n">
        <f aca="false">BA125/BA24</f>
        <v>1.49520820814137</v>
      </c>
      <c r="BB138" s="19" t="n">
        <f aca="false">BB125/BB24</f>
        <v>1.10682591782154</v>
      </c>
      <c r="BC138" s="19" t="n">
        <f aca="false">BC125/BC24</f>
        <v>2.55114409541561</v>
      </c>
      <c r="BD138" s="16"/>
      <c r="BE138" s="19" t="n">
        <f aca="false">BE125/BE24</f>
        <v>1.66692158440839</v>
      </c>
    </row>
    <row r="139" customFormat="false" ht="12.75" hidden="false" customHeight="true" outlineLevel="0" collapsed="false">
      <c r="A139" s="1" t="s">
        <v>107</v>
      </c>
      <c r="B139" s="1" t="n">
        <v>2025</v>
      </c>
      <c r="C139" s="17" t="s">
        <v>94</v>
      </c>
      <c r="D139" s="16" t="n">
        <f aca="false">D33/D125</f>
        <v>0.232391235312798</v>
      </c>
      <c r="E139" s="16" t="n">
        <f aca="false">E33/E125</f>
        <v>0.484211715528442</v>
      </c>
      <c r="F139" s="16" t="n">
        <f aca="false">F33/F125</f>
        <v>0.541839106525313</v>
      </c>
      <c r="G139" s="16" t="n">
        <f aca="false">G33/G125</f>
        <v>0.255502305814269</v>
      </c>
      <c r="H139" s="16" t="n">
        <f aca="false">H33/H125</f>
        <v>0.31190877654254</v>
      </c>
      <c r="I139" s="16" t="n">
        <f aca="false">I33/I125</f>
        <v>0.361885870220391</v>
      </c>
      <c r="J139" s="16" t="n">
        <f aca="false">J33/J125</f>
        <v>0.313694774851317</v>
      </c>
      <c r="K139" s="16" t="n">
        <f aca="false">K33/K125</f>
        <v>0.484611405664037</v>
      </c>
      <c r="L139" s="16" t="n">
        <f aca="false">L33/L125</f>
        <v>0.151253102730403</v>
      </c>
      <c r="M139" s="16" t="n">
        <f aca="false">M33/M125</f>
        <v>0.189909182643794</v>
      </c>
      <c r="N139" s="18"/>
      <c r="O139" s="16" t="n">
        <f aca="false">O33/O125</f>
        <v>0.238041002277904</v>
      </c>
      <c r="P139" s="16" t="n">
        <f aca="false">P33/P125</f>
        <v>0.0936526768500667</v>
      </c>
      <c r="Q139" s="16" t="n">
        <f aca="false">Q33/Q125</f>
        <v>0.0399333173527425</v>
      </c>
      <c r="R139" s="16" t="n">
        <f aca="false">R33/R125</f>
        <v>0.0772971589454825</v>
      </c>
      <c r="S139" s="16" t="n">
        <f aca="false">S33/S125</f>
        <v>0.133967403242103</v>
      </c>
      <c r="T139" s="16" t="n">
        <f aca="false">T33/T125</f>
        <v>0.133714235096111</v>
      </c>
      <c r="U139" s="16" t="n">
        <f aca="false">U33/U125</f>
        <v>0.137961726746773</v>
      </c>
      <c r="V139" s="16" t="n">
        <f aca="false">V33/V125</f>
        <v>0.0963690099218915</v>
      </c>
      <c r="W139" s="16" t="n">
        <f aca="false">W33/W125</f>
        <v>0.0764227642276423</v>
      </c>
      <c r="X139" s="16" t="n">
        <f aca="false">X33/X125</f>
        <v>0.143854291634857</v>
      </c>
      <c r="Y139" s="16" t="e">
        <f aca="false">Y33/Y125</f>
        <v>#DIV/0!</v>
      </c>
      <c r="Z139" s="18"/>
      <c r="AA139" s="16" t="n">
        <f aca="false">AA33/AA125</f>
        <v>0.408298353245076</v>
      </c>
      <c r="AB139" s="16" t="n">
        <f aca="false">AB33/AB125</f>
        <v>0.0745740281224152</v>
      </c>
      <c r="AC139" s="18"/>
      <c r="AD139" s="16" t="n">
        <f aca="false">AD33/AD125</f>
        <v>0.0185815812851643</v>
      </c>
      <c r="AE139" s="16" t="n">
        <f aca="false">AE33/AE125</f>
        <v>0.025000824021886</v>
      </c>
      <c r="AF139" s="16" t="n">
        <f aca="false">AF33/AF125</f>
        <v>0.0293166270077335</v>
      </c>
      <c r="AG139" s="16" t="n">
        <f aca="false">AG33/AG125</f>
        <v>0.0386320180775248</v>
      </c>
      <c r="AH139" s="16" t="n">
        <f aca="false">AH33/AH125</f>
        <v>0.0123198346665716</v>
      </c>
      <c r="AI139" s="16" t="n">
        <f aca="false">AI33/AI125</f>
        <v>0.0311856004380972</v>
      </c>
      <c r="AJ139" s="16" t="n">
        <f aca="false">AJ33/AJ125</f>
        <v>0.0316185046002333</v>
      </c>
      <c r="AK139" s="18"/>
      <c r="AL139" s="16" t="n">
        <f aca="false">AL33/AL125</f>
        <v>0.083895820549533</v>
      </c>
      <c r="AM139" s="16" t="n">
        <f aca="false">AM33/AM125</f>
        <v>0.0153438741334995</v>
      </c>
      <c r="AN139" s="16" t="n">
        <f aca="false">AN33/AN125</f>
        <v>0.275928022171045</v>
      </c>
      <c r="AO139" s="16" t="n">
        <f aca="false">AO33/AO125</f>
        <v>0.142395377442147</v>
      </c>
      <c r="AP139" s="16" t="n">
        <f aca="false">AP33/AP125</f>
        <v>0.293084829820422</v>
      </c>
      <c r="AQ139" s="16" t="n">
        <f aca="false">AQ33/AQ125</f>
        <v>0.333811129848229</v>
      </c>
      <c r="AR139" s="16" t="n">
        <f aca="false">AR33/AR125</f>
        <v>0.168302235521915</v>
      </c>
      <c r="AS139" s="16" t="n">
        <f aca="false">AS33/AS125</f>
        <v>0.124908549968297</v>
      </c>
      <c r="AT139" s="16" t="n">
        <f aca="false">AT33/AT125</f>
        <v>0.150123456790123</v>
      </c>
      <c r="AU139" s="16" t="n">
        <f aca="false">AU33/AU125</f>
        <v>0.128635611255616</v>
      </c>
      <c r="AV139" s="16" t="n">
        <f aca="false">AV33/AV125</f>
        <v>0.436521739130435</v>
      </c>
      <c r="AW139" s="16" t="e">
        <f aca="false">AW33/AW125</f>
        <v>#N/A</v>
      </c>
      <c r="AX139" s="16"/>
      <c r="AY139" s="16" t="e">
        <f aca="false">AY33/AY125</f>
        <v>#N/A</v>
      </c>
      <c r="AZ139" s="16" t="n">
        <f aca="false">AZ33/AZ125</f>
        <v>0.329762481104206</v>
      </c>
      <c r="BA139" s="16" t="n">
        <f aca="false">BA33/BA125</f>
        <v>0.110224288937977</v>
      </c>
      <c r="BB139" s="16" t="n">
        <f aca="false">BB33/BB125</f>
        <v>0.131332546198413</v>
      </c>
      <c r="BC139" s="16" t="n">
        <f aca="false">BC33/BC125</f>
        <v>0.0258141150630897</v>
      </c>
      <c r="BD139" s="16"/>
      <c r="BE139" s="16" t="e">
        <f aca="false">BE33/BE125</f>
        <v>#N/A</v>
      </c>
    </row>
    <row r="140" customFormat="false" ht="12.75" hidden="false" customHeight="true" outlineLevel="0" collapsed="false">
      <c r="A140" s="1" t="s">
        <v>108</v>
      </c>
      <c r="B140" s="1" t="n">
        <v>2025</v>
      </c>
      <c r="C140" s="17" t="s">
        <v>103</v>
      </c>
      <c r="D140" s="19" t="n">
        <f aca="false">(D30+D31)/D24</f>
        <v>1.02517409256178</v>
      </c>
      <c r="E140" s="19" t="n">
        <f aca="false">(E30+E31)/E24</f>
        <v>1.01822747140333</v>
      </c>
      <c r="F140" s="19" t="n">
        <f aca="false">(F30+F31)/F24</f>
        <v>1.20001756080429</v>
      </c>
      <c r="G140" s="19" t="n">
        <f aca="false">(G30+G31)/G24</f>
        <v>1.12844502057149</v>
      </c>
      <c r="H140" s="19" t="n">
        <f aca="false">(H30+H31)/H24</f>
        <v>0.917551092009473</v>
      </c>
      <c r="I140" s="19" t="n">
        <f aca="false">(I30+I31)/I24</f>
        <v>1.16412636565055</v>
      </c>
      <c r="J140" s="19" t="n">
        <f aca="false">(J30+J31)/J24</f>
        <v>0.916643735995912</v>
      </c>
      <c r="K140" s="19" t="n">
        <f aca="false">(K30+K31)/K24</f>
        <v>1.05086496256132</v>
      </c>
      <c r="L140" s="19" t="n">
        <f aca="false">(L30+L31)/L24</f>
        <v>1.1709267269629</v>
      </c>
      <c r="M140" s="19" t="n">
        <f aca="false">(M30+M31)/M24</f>
        <v>1.05816149255986</v>
      </c>
      <c r="N140" s="18"/>
      <c r="O140" s="19" t="n">
        <f aca="false">(O30+O31)/O24</f>
        <v>0.447647695824811</v>
      </c>
      <c r="P140" s="19" t="n">
        <f aca="false">(P30+P31)/P24</f>
        <v>0.824787180771157</v>
      </c>
      <c r="Q140" s="19" t="n">
        <f aca="false">(Q30+Q31)/Q24</f>
        <v>0.881419344675488</v>
      </c>
      <c r="R140" s="19" t="n">
        <f aca="false">(R30+R31)/R24</f>
        <v>0.635677276091784</v>
      </c>
      <c r="S140" s="19" t="n">
        <f aca="false">(S30+S31)/S24</f>
        <v>0.771871234291616</v>
      </c>
      <c r="T140" s="19" t="n">
        <f aca="false">(T30+T31)/T24</f>
        <v>0.573356126747665</v>
      </c>
      <c r="U140" s="19" t="n">
        <f aca="false">(U30+U31)/U24</f>
        <v>0.777537077153808</v>
      </c>
      <c r="V140" s="19" t="n">
        <f aca="false">(V30+V31)/V24</f>
        <v>0.958518930957684</v>
      </c>
      <c r="W140" s="19" t="n">
        <f aca="false">(W30+W31)/W24</f>
        <v>0.681628433984018</v>
      </c>
      <c r="X140" s="19" t="n">
        <f aca="false">(X30+X31)/X24</f>
        <v>1.03817161186848</v>
      </c>
      <c r="Y140" s="19" t="e">
        <f aca="false">(Y30+Y31)/Y24</f>
        <v>#DIV/0!</v>
      </c>
      <c r="Z140" s="18"/>
      <c r="AA140" s="19" t="n">
        <f aca="false">(AA30+AA31)/AA24</f>
        <v>0.0324643384161338</v>
      </c>
      <c r="AB140" s="19" t="n">
        <f aca="false">(AB30+AB31)/AB24</f>
        <v>0.307181495989554</v>
      </c>
      <c r="AC140" s="18"/>
      <c r="AD140" s="19" t="n">
        <f aca="false">(AD30+AD31)/AD24</f>
        <v>0.685904593231433</v>
      </c>
      <c r="AE140" s="19" t="n">
        <f aca="false">(AE30+AE31)/AE24</f>
        <v>1.50666994025698</v>
      </c>
      <c r="AF140" s="19" t="n">
        <f aca="false">(AF30+AF31)/AF24</f>
        <v>1.47432818235374</v>
      </c>
      <c r="AG140" s="19" t="n">
        <f aca="false">(AG30+AG31)/AG24</f>
        <v>1.78218839983546</v>
      </c>
      <c r="AH140" s="19" t="n">
        <f aca="false">(AH30+AH31)/AH24</f>
        <v>2.14843065796536</v>
      </c>
      <c r="AI140" s="19" t="n">
        <f aca="false">(AI30+AI31)/AI24</f>
        <v>1.86765554182118</v>
      </c>
      <c r="AJ140" s="19" t="n">
        <f aca="false">(AJ30+AJ31)/AJ24</f>
        <v>1.90842053895787</v>
      </c>
      <c r="AK140" s="18"/>
      <c r="AL140" s="19" t="n">
        <f aca="false">(AL30+AL31)/AL24</f>
        <v>0.767565785859474</v>
      </c>
      <c r="AM140" s="19" t="n">
        <f aca="false">(AM30+AM31)/AM24</f>
        <v>0.302614136486558</v>
      </c>
      <c r="AN140" s="19" t="n">
        <f aca="false">(AN30+AN31)/AN24</f>
        <v>0.541018959475245</v>
      </c>
      <c r="AO140" s="19" t="n">
        <f aca="false">(AO30+AO31)/AO24</f>
        <v>0.45071765447023</v>
      </c>
      <c r="AP140" s="19" t="n">
        <f aca="false">(AP30+AP31)/AP24</f>
        <v>0.667983730389309</v>
      </c>
      <c r="AQ140" s="19" t="n">
        <f aca="false">(AQ30+AQ31)/AQ24</f>
        <v>0.660393921106051</v>
      </c>
      <c r="AR140" s="19" t="n">
        <f aca="false">(AR30+AR31)/AR24</f>
        <v>0.413573315719947</v>
      </c>
      <c r="AS140" s="19" t="n">
        <f aca="false">(AS30+AS31)/AS24</f>
        <v>0.456724738675958</v>
      </c>
      <c r="AT140" s="19" t="n">
        <f aca="false">(AT30+AT31)/AT24</f>
        <v>0.248835297341737</v>
      </c>
      <c r="AU140" s="19" t="n">
        <f aca="false">(AU30+AU31)/AU24</f>
        <v>0.462771739130435</v>
      </c>
      <c r="AV140" s="19" t="n">
        <f aca="false">(AV30+AV31)/AV24</f>
        <v>0.906759906759907</v>
      </c>
      <c r="AW140" s="19" t="e">
        <f aca="false">(AW30+AW31)/AW24</f>
        <v>#DIV/0!</v>
      </c>
      <c r="AX140" s="16"/>
      <c r="AY140" s="19" t="n">
        <f aca="false">(AY30+AY31)/AY24</f>
        <v>0.504196660157958</v>
      </c>
      <c r="AZ140" s="19" t="n">
        <f aca="false">(AZ30+AZ31)/AZ24</f>
        <v>1.05870904713186</v>
      </c>
      <c r="BA140" s="19" t="n">
        <f aca="false">(BA30+BA31)/BA24</f>
        <v>0.729491887560927</v>
      </c>
      <c r="BB140" s="19" t="n">
        <f aca="false">(BB30+BB31)/BB24</f>
        <v>0.25626063700462</v>
      </c>
      <c r="BC140" s="19" t="n">
        <f aca="false">(BC30+BC31)/BC24</f>
        <v>1.64133952360805</v>
      </c>
      <c r="BD140" s="16"/>
      <c r="BE140" s="19" t="n">
        <f aca="false">(BE30+BE31)/BE24</f>
        <v>0.933337340773815</v>
      </c>
    </row>
    <row r="141" customFormat="false" ht="12.75" hidden="false" customHeight="true" outlineLevel="0" collapsed="false">
      <c r="A141" s="1" t="s">
        <v>109</v>
      </c>
      <c r="B141" s="1" t="n">
        <v>2025</v>
      </c>
      <c r="C141" s="17" t="s">
        <v>103</v>
      </c>
      <c r="D141" s="19" t="n">
        <f aca="false">D30/D24</f>
        <v>0.919054661983115</v>
      </c>
      <c r="E141" s="19" t="n">
        <f aca="false">E30/E24</f>
        <v>1.01822747140333</v>
      </c>
      <c r="F141" s="19" t="n">
        <f aca="false">F30/F24</f>
        <v>1.09043814206691</v>
      </c>
      <c r="G141" s="19" t="n">
        <f aca="false">G30/G24</f>
        <v>0.846164684664375</v>
      </c>
      <c r="H141" s="19" t="n">
        <f aca="false">H30/H24</f>
        <v>0.752872555039032</v>
      </c>
      <c r="I141" s="19" t="n">
        <f aca="false">I30/I24</f>
        <v>0.894587057834823</v>
      </c>
      <c r="J141" s="19" t="n">
        <f aca="false">J30/J24</f>
        <v>0.812787452336963</v>
      </c>
      <c r="K141" s="19" t="n">
        <f aca="false">K30/K24</f>
        <v>1.05086496256132</v>
      </c>
      <c r="L141" s="19" t="n">
        <f aca="false">L30/L24</f>
        <v>0.921745969327566</v>
      </c>
      <c r="M141" s="19" t="n">
        <f aca="false">M30/M24</f>
        <v>0.712440516655337</v>
      </c>
      <c r="N141" s="18"/>
      <c r="O141" s="19" t="n">
        <f aca="false">O30/O24</f>
        <v>0.408446636987126</v>
      </c>
      <c r="P141" s="19" t="n">
        <f aca="false">P30/P24</f>
        <v>0.806609914872309</v>
      </c>
      <c r="Q141" s="19" t="n">
        <f aca="false">Q30/Q24</f>
        <v>0.841741493383743</v>
      </c>
      <c r="R141" s="19" t="n">
        <f aca="false">R30/R24</f>
        <v>0.635677276091784</v>
      </c>
      <c r="S141" s="19" t="n">
        <f aca="false">S30/S24</f>
        <v>0.771871234291616</v>
      </c>
      <c r="T141" s="19" t="n">
        <f aca="false">T30/T24</f>
        <v>0.573356126747665</v>
      </c>
      <c r="U141" s="19" t="n">
        <f aca="false">U30/U24</f>
        <v>0.777537077153808</v>
      </c>
      <c r="V141" s="19" t="n">
        <f aca="false">V30/V24</f>
        <v>0.958518930957684</v>
      </c>
      <c r="W141" s="19" t="n">
        <f aca="false">W30/W24</f>
        <v>0.681628433984018</v>
      </c>
      <c r="X141" s="19" t="n">
        <f aca="false">X30/X24</f>
        <v>0.983480352846832</v>
      </c>
      <c r="Y141" s="19" t="e">
        <f aca="false">Y30/Y24</f>
        <v>#DIV/0!</v>
      </c>
      <c r="Z141" s="18"/>
      <c r="AA141" s="19" t="n">
        <f aca="false">AA30/AA24</f>
        <v>0.0109854074438433</v>
      </c>
      <c r="AB141" s="19" t="n">
        <f aca="false">AB30/AB24</f>
        <v>0.307181495989554</v>
      </c>
      <c r="AC141" s="18"/>
      <c r="AD141" s="19" t="n">
        <f aca="false">AD30/AD24</f>
        <v>0.685904593231433</v>
      </c>
      <c r="AE141" s="19" t="n">
        <f aca="false">AE30/AE24</f>
        <v>1.50666994025698</v>
      </c>
      <c r="AF141" s="19" t="n">
        <f aca="false">AF30/AF24</f>
        <v>0.908143381519917</v>
      </c>
      <c r="AG141" s="19" t="n">
        <f aca="false">AG30/AG24</f>
        <v>1.78218839983546</v>
      </c>
      <c r="AH141" s="19" t="n">
        <f aca="false">AH30/AH24</f>
        <v>2.14843065796536</v>
      </c>
      <c r="AI141" s="19" t="n">
        <f aca="false">AI30/AI24</f>
        <v>1.86765554182118</v>
      </c>
      <c r="AJ141" s="19" t="n">
        <f aca="false">AJ30/AJ24</f>
        <v>1.90842053895787</v>
      </c>
      <c r="AK141" s="18"/>
      <c r="AL141" s="19" t="n">
        <f aca="false">AL30/AL24</f>
        <v>0.767565785859474</v>
      </c>
      <c r="AM141" s="19" t="n">
        <f aca="false">AM30/AM24</f>
        <v>0.302614136486558</v>
      </c>
      <c r="AN141" s="19" t="n">
        <f aca="false">AN30/AN24</f>
        <v>0.541018959475245</v>
      </c>
      <c r="AO141" s="19" t="n">
        <f aca="false">AO30/AO24</f>
        <v>0.45071765447023</v>
      </c>
      <c r="AP141" s="19" t="n">
        <f aca="false">AP30/AP24</f>
        <v>0.667983730389309</v>
      </c>
      <c r="AQ141" s="19" t="n">
        <f aca="false">AQ30/AQ24</f>
        <v>0.660393921106051</v>
      </c>
      <c r="AR141" s="19" t="n">
        <f aca="false">AR30/AR24</f>
        <v>0.413573315719947</v>
      </c>
      <c r="AS141" s="19" t="n">
        <f aca="false">AS30/AS24</f>
        <v>0.456724738675958</v>
      </c>
      <c r="AT141" s="19" t="n">
        <f aca="false">AT30/AT24</f>
        <v>0.248835297341737</v>
      </c>
      <c r="AU141" s="19" t="n">
        <f aca="false">AU30/AU24</f>
        <v>0.462771739130435</v>
      </c>
      <c r="AV141" s="19" t="n">
        <f aca="false">AV30/AV24</f>
        <v>0.906759906759907</v>
      </c>
      <c r="AW141" s="19" t="e">
        <f aca="false">AW30/AW24</f>
        <v>#DIV/0!</v>
      </c>
      <c r="AX141" s="16"/>
      <c r="AY141" s="19" t="n">
        <f aca="false">AY30/AY24</f>
        <v>0.504196660157958</v>
      </c>
      <c r="AZ141" s="19" t="n">
        <f aca="false">AZ30/AZ24</f>
        <v>0.88337423171304</v>
      </c>
      <c r="BA141" s="19" t="n">
        <f aca="false">BA30/BA24</f>
        <v>0.710137766797979</v>
      </c>
      <c r="BB141" s="19" t="n">
        <f aca="false">BB30/BB24</f>
        <v>0.25227935813275</v>
      </c>
      <c r="BC141" s="19" t="n">
        <f aca="false">BC30/BC24</f>
        <v>1.56990360095599</v>
      </c>
      <c r="BD141" s="16"/>
      <c r="BE141" s="19" t="n">
        <f aca="false">BE30/BE24</f>
        <v>0.863698043812456</v>
      </c>
    </row>
    <row r="142" customFormat="false" ht="12.75" hidden="false" customHeight="true" outlineLevel="0" collapsed="false">
      <c r="A142" s="1" t="s">
        <v>110</v>
      </c>
      <c r="B142" s="1" t="n">
        <v>2025</v>
      </c>
      <c r="C142" s="17" t="s">
        <v>103</v>
      </c>
      <c r="D142" s="19" t="n">
        <f aca="false">D31/D24</f>
        <v>0.106119430578665</v>
      </c>
      <c r="E142" s="19" t="n">
        <f aca="false">E31/E24</f>
        <v>0</v>
      </c>
      <c r="F142" s="19" t="n">
        <f aca="false">F31/F24</f>
        <v>0.109579418737378</v>
      </c>
      <c r="G142" s="19" t="n">
        <f aca="false">G31/G24</f>
        <v>0.282280335907118</v>
      </c>
      <c r="H142" s="19" t="n">
        <f aca="false">H31/H24</f>
        <v>0.164678536970441</v>
      </c>
      <c r="I142" s="19" t="n">
        <f aca="false">I31/I24</f>
        <v>0.269539307815723</v>
      </c>
      <c r="J142" s="19" t="n">
        <f aca="false">J31/J24</f>
        <v>0.103856283658949</v>
      </c>
      <c r="K142" s="19" t="n">
        <f aca="false">K31/K24</f>
        <v>0</v>
      </c>
      <c r="L142" s="19" t="n">
        <f aca="false">L31/L24</f>
        <v>0.249180757635339</v>
      </c>
      <c r="M142" s="19" t="n">
        <f aca="false">M31/M24</f>
        <v>0.345720975904525</v>
      </c>
      <c r="N142" s="18"/>
      <c r="O142" s="19" t="n">
        <f aca="false">O31/O24</f>
        <v>0.039201058837685</v>
      </c>
      <c r="P142" s="19" t="n">
        <f aca="false">P31/P24</f>
        <v>0.0181772658988483</v>
      </c>
      <c r="Q142" s="19" t="n">
        <f aca="false">Q31/Q24</f>
        <v>0.0396778512917454</v>
      </c>
      <c r="R142" s="19" t="n">
        <f aca="false">R31/R24</f>
        <v>0</v>
      </c>
      <c r="S142" s="19" t="n">
        <f aca="false">S31/S24</f>
        <v>0</v>
      </c>
      <c r="T142" s="19" t="n">
        <f aca="false">T31/T24</f>
        <v>0</v>
      </c>
      <c r="U142" s="19" t="n">
        <f aca="false">U31/U24</f>
        <v>0</v>
      </c>
      <c r="V142" s="19" t="n">
        <f aca="false">V31/V24</f>
        <v>0</v>
      </c>
      <c r="W142" s="19" t="n">
        <f aca="false">W31/W24</f>
        <v>0</v>
      </c>
      <c r="X142" s="19" t="n">
        <f aca="false">X31/X24</f>
        <v>0.054691259021652</v>
      </c>
      <c r="Y142" s="19" t="e">
        <f aca="false">Y31/Y24</f>
        <v>#DIV/0!</v>
      </c>
      <c r="Z142" s="18"/>
      <c r="AA142" s="19" t="n">
        <f aca="false">AA31/AA24</f>
        <v>0.0214789309722905</v>
      </c>
      <c r="AB142" s="19" t="n">
        <f aca="false">AB31/AB24</f>
        <v>0</v>
      </c>
      <c r="AC142" s="18"/>
      <c r="AD142" s="19" t="n">
        <f aca="false">AD31/AD24</f>
        <v>0</v>
      </c>
      <c r="AE142" s="19" t="n">
        <f aca="false">AE31/AE24</f>
        <v>0</v>
      </c>
      <c r="AF142" s="19" t="n">
        <f aca="false">AF31/AF24</f>
        <v>0.566184800833824</v>
      </c>
      <c r="AG142" s="19" t="n">
        <f aca="false">AG31/AG24</f>
        <v>0</v>
      </c>
      <c r="AH142" s="19" t="n">
        <f aca="false">AH31/AH24</f>
        <v>0</v>
      </c>
      <c r="AI142" s="19" t="n">
        <f aca="false">AI31/AI24</f>
        <v>0</v>
      </c>
      <c r="AJ142" s="19" t="n">
        <f aca="false">AJ31/AJ24</f>
        <v>0</v>
      </c>
      <c r="AK142" s="18"/>
      <c r="AL142" s="19" t="n">
        <f aca="false">AL31/AL24</f>
        <v>0</v>
      </c>
      <c r="AM142" s="19" t="n">
        <f aca="false">AM31/AM24</f>
        <v>0</v>
      </c>
      <c r="AN142" s="19" t="n">
        <f aca="false">AN31/AN24</f>
        <v>0</v>
      </c>
      <c r="AO142" s="19" t="n">
        <f aca="false">AO31/AO24</f>
        <v>0</v>
      </c>
      <c r="AP142" s="19" t="n">
        <f aca="false">AP31/AP24</f>
        <v>0</v>
      </c>
      <c r="AQ142" s="19" t="n">
        <f aca="false">AQ31/AQ24</f>
        <v>0</v>
      </c>
      <c r="AR142" s="19" t="n">
        <f aca="false">AR31/AR24</f>
        <v>0</v>
      </c>
      <c r="AS142" s="19" t="n">
        <f aca="false">AS31/AS24</f>
        <v>0</v>
      </c>
      <c r="AT142" s="19" t="n">
        <f aca="false">AT31/AT24</f>
        <v>0</v>
      </c>
      <c r="AU142" s="19" t="n">
        <f aca="false">AU31/AU24</f>
        <v>0</v>
      </c>
      <c r="AV142" s="19" t="n">
        <f aca="false">AV31/AV24</f>
        <v>0</v>
      </c>
      <c r="AW142" s="19" t="e">
        <f aca="false">AW31/AW24</f>
        <v>#DIV/0!</v>
      </c>
      <c r="AX142" s="16"/>
      <c r="AY142" s="19" t="n">
        <f aca="false">AY31/AY24</f>
        <v>0</v>
      </c>
      <c r="AZ142" s="19" t="n">
        <f aca="false">AZ31/AZ24</f>
        <v>0.175334815418817</v>
      </c>
      <c r="BA142" s="19" t="n">
        <f aca="false">BA31/BA24</f>
        <v>0.0193541207629476</v>
      </c>
      <c r="BB142" s="19" t="n">
        <f aca="false">BB31/BB24</f>
        <v>0.00398127887186968</v>
      </c>
      <c r="BC142" s="19" t="n">
        <f aca="false">BC31/BC24</f>
        <v>0.0714359226520601</v>
      </c>
      <c r="BD142" s="16"/>
      <c r="BE142" s="19" t="n">
        <f aca="false">BE31/BE24</f>
        <v>0.0696392969613583</v>
      </c>
    </row>
    <row r="143" customFormat="false" ht="12.75" hidden="false" customHeight="true" outlineLevel="0" collapsed="false">
      <c r="A143" s="1" t="s">
        <v>111</v>
      </c>
      <c r="B143" s="1" t="n">
        <v>2025</v>
      </c>
      <c r="C143" s="17" t="s">
        <v>103</v>
      </c>
      <c r="D143" s="19" t="n">
        <f aca="false">D32/D24</f>
        <v>0.0473285265298577</v>
      </c>
      <c r="E143" s="19" t="n">
        <f aca="false">E32/E24</f>
        <v>0.171766018785455</v>
      </c>
      <c r="F143" s="19" t="n">
        <f aca="false">F32/F24</f>
        <v>0.00724383176749495</v>
      </c>
      <c r="G143" s="19" t="n">
        <f aca="false">G32/G24</f>
        <v>0.0279828664825565</v>
      </c>
      <c r="H143" s="19" t="n">
        <f aca="false">H32/H24</f>
        <v>0.0771862117358127</v>
      </c>
      <c r="I143" s="19" t="n">
        <f aca="false">I32/I24</f>
        <v>0.0456108182443273</v>
      </c>
      <c r="J143" s="19" t="n">
        <f aca="false">J32/J24</f>
        <v>0.0326074138134361</v>
      </c>
      <c r="K143" s="19" t="n">
        <f aca="false">K32/K24</f>
        <v>0</v>
      </c>
      <c r="L143" s="19" t="n">
        <f aca="false">L32/L24</f>
        <v>0</v>
      </c>
      <c r="M143" s="19" t="n">
        <f aca="false">M32/M24</f>
        <v>0.0470579348893421</v>
      </c>
      <c r="N143" s="18"/>
      <c r="O143" s="19" t="n">
        <f aca="false">O32/O24</f>
        <v>0.0920466851161112</v>
      </c>
      <c r="P143" s="19" t="n">
        <f aca="false">P32/P24</f>
        <v>0.117976965448172</v>
      </c>
      <c r="Q143" s="19" t="n">
        <f aca="false">Q32/Q24</f>
        <v>0.202898550724638</v>
      </c>
      <c r="R143" s="19" t="n">
        <f aca="false">R32/R24</f>
        <v>0.373056994818653</v>
      </c>
      <c r="S143" s="19" t="n">
        <f aca="false">S32/S24</f>
        <v>0.195627474608366</v>
      </c>
      <c r="T143" s="19" t="n">
        <f aca="false">T32/T24</f>
        <v>0.209475547957751</v>
      </c>
      <c r="U143" s="19" t="n">
        <f aca="false">U32/U24</f>
        <v>0.237071599177915</v>
      </c>
      <c r="V143" s="19" t="n">
        <f aca="false">V32/V24</f>
        <v>0.000742390497401633</v>
      </c>
      <c r="W143" s="19" t="n">
        <f aca="false">W32/W24</f>
        <v>0.116407585576273</v>
      </c>
      <c r="X143" s="19" t="n">
        <f aca="false">X32/X24</f>
        <v>0.0396150761828388</v>
      </c>
      <c r="Y143" s="19" t="e">
        <f aca="false">Y32/Y24</f>
        <v>#DIV/0!</v>
      </c>
      <c r="Z143" s="18"/>
      <c r="AA143" s="19" t="n">
        <f aca="false">AA32/AA24</f>
        <v>0.102311854402361</v>
      </c>
      <c r="AB143" s="19" t="n">
        <f aca="false">AB32/AB24</f>
        <v>0</v>
      </c>
      <c r="AC143" s="18"/>
      <c r="AD143" s="19" t="n">
        <f aca="false">AD32/AD24</f>
        <v>0</v>
      </c>
      <c r="AE143" s="19" t="n">
        <f aca="false">AE32/AE24</f>
        <v>0.019887061134299</v>
      </c>
      <c r="AF143" s="19" t="n">
        <f aca="false">AF32/AF24</f>
        <v>0.107536139937463</v>
      </c>
      <c r="AG143" s="19" t="n">
        <f aca="false">AG32/AG24</f>
        <v>0.0718634306869601</v>
      </c>
      <c r="AH143" s="19" t="n">
        <f aca="false">AH32/AH24</f>
        <v>0.074300081927847</v>
      </c>
      <c r="AI143" s="19" t="n">
        <f aca="false">AI32/AI24</f>
        <v>0.0238978162340338</v>
      </c>
      <c r="AJ143" s="19" t="n">
        <f aca="false">AJ32/AJ24</f>
        <v>0.0538415659057637</v>
      </c>
      <c r="AK143" s="18"/>
      <c r="AL143" s="19" t="n">
        <f aca="false">AL32/AL24</f>
        <v>0.0793275833653793</v>
      </c>
      <c r="AM143" s="19" t="n">
        <f aca="false">AM32/AM24</f>
        <v>0.17678561959807</v>
      </c>
      <c r="AN143" s="19" t="n">
        <f aca="false">AN32/AN24</f>
        <v>0.0290232725312247</v>
      </c>
      <c r="AO143" s="19" t="n">
        <f aca="false">AO32/AO24</f>
        <v>0.0577188292782592</v>
      </c>
      <c r="AP143" s="19" t="n">
        <f aca="false">AP32/AP24</f>
        <v>0.0781522370714701</v>
      </c>
      <c r="AQ143" s="19" t="n">
        <f aca="false">AQ32/AQ24</f>
        <v>0.12772260931585</v>
      </c>
      <c r="AR143" s="19" t="n">
        <f aca="false">AR32/AR24</f>
        <v>0.077443857331572</v>
      </c>
      <c r="AS143" s="19" t="n">
        <f aca="false">AS32/AS24</f>
        <v>0.0949825783972125</v>
      </c>
      <c r="AT143" s="19" t="n">
        <f aca="false">AT32/AT24</f>
        <v>0</v>
      </c>
      <c r="AU143" s="19" t="n">
        <f aca="false">AU32/AU24</f>
        <v>0.0078804347826087</v>
      </c>
      <c r="AV143" s="19" t="n">
        <f aca="false">AV32/AV24</f>
        <v>0.0675990675990676</v>
      </c>
      <c r="AW143" s="19" t="e">
        <f aca="false">AW32/AW24</f>
        <v>#DIV/0!</v>
      </c>
      <c r="AX143" s="16"/>
      <c r="AY143" s="19" t="n">
        <f aca="false">AY32/AY24</f>
        <v>0.0789448119760246</v>
      </c>
      <c r="AZ143" s="19" t="n">
        <f aca="false">AZ32/AZ24</f>
        <v>0.0421971276260221</v>
      </c>
      <c r="BA143" s="19" t="n">
        <f aca="false">BA32/BA24</f>
        <v>0.158327212837462</v>
      </c>
      <c r="BB143" s="19" t="n">
        <f aca="false">BB32/BB24</f>
        <v>0.0189642596644785</v>
      </c>
      <c r="BC143" s="19" t="n">
        <f aca="false">BC32/BC24</f>
        <v>0.0503664993310387</v>
      </c>
      <c r="BD143" s="16"/>
      <c r="BE143" s="19" t="n">
        <f aca="false">BE32/BE24</f>
        <v>0.0804003878311844</v>
      </c>
    </row>
    <row r="144" customFormat="false" ht="12.75" hidden="false" customHeight="true" outlineLevel="0" collapsed="false">
      <c r="A144" s="1" t="s">
        <v>112</v>
      </c>
      <c r="B144" s="1" t="n">
        <v>2025</v>
      </c>
      <c r="C144" s="17" t="s">
        <v>92</v>
      </c>
      <c r="D144" s="20" t="n">
        <f aca="false">D11/D28</f>
        <v>156.430970211581</v>
      </c>
      <c r="E144" s="20" t="n">
        <f aca="false">E11/E28</f>
        <v>82.9753413490931</v>
      </c>
      <c r="F144" s="20" t="n">
        <f aca="false">F11/F28</f>
        <v>152.352874676122</v>
      </c>
      <c r="G144" s="20" t="n">
        <f aca="false">G11/G28</f>
        <v>120.411699753659</v>
      </c>
      <c r="H144" s="20" t="n">
        <f aca="false">H11/H28</f>
        <v>106.166792945787</v>
      </c>
      <c r="I144" s="20" t="n">
        <f aca="false">I11/I28</f>
        <v>87.5195603835642</v>
      </c>
      <c r="J144" s="20" t="n">
        <f aca="false">J11/J28</f>
        <v>86.1288553438812</v>
      </c>
      <c r="K144" s="20" t="n">
        <f aca="false">K11/K28</f>
        <v>109.820211817168</v>
      </c>
      <c r="L144" s="20" t="n">
        <f aca="false">L11/L28</f>
        <v>67.0615373699148</v>
      </c>
      <c r="M144" s="20" t="n">
        <f aca="false">M11/M28</f>
        <v>130.136512455516</v>
      </c>
      <c r="N144" s="18"/>
      <c r="O144" s="20" t="n">
        <f aca="false">O11/O28</f>
        <v>80.0805620963127</v>
      </c>
      <c r="P144" s="20" t="n">
        <f aca="false">P11/P28</f>
        <v>187.752939759036</v>
      </c>
      <c r="Q144" s="20" t="n">
        <f aca="false">Q11/Q28</f>
        <v>88.9740655598127</v>
      </c>
      <c r="R144" s="20" t="n">
        <f aca="false">R11/R28</f>
        <v>0</v>
      </c>
      <c r="S144" s="20" t="n">
        <f aca="false">S11/S28</f>
        <v>68.8664248224761</v>
      </c>
      <c r="T144" s="20" t="n">
        <f aca="false">T11/T28</f>
        <v>130.184806331471</v>
      </c>
      <c r="U144" s="20" t="n">
        <f aca="false">U11/U28</f>
        <v>98.1463464526152</v>
      </c>
      <c r="V144" s="20" t="n">
        <f aca="false">V11/V28</f>
        <v>142.51801504837</v>
      </c>
      <c r="W144" s="20" t="n">
        <f aca="false">W11/W28</f>
        <v>106.353145091225</v>
      </c>
      <c r="X144" s="20" t="n">
        <f aca="false">X11/X28</f>
        <v>37.3615407854985</v>
      </c>
      <c r="Y144" s="20" t="e">
        <f aca="false">Y11/Y28</f>
        <v>#DIV/0!</v>
      </c>
      <c r="Z144" s="18"/>
      <c r="AA144" s="20" t="n">
        <f aca="false">AA11/AA28</f>
        <v>73.5561290322581</v>
      </c>
      <c r="AB144" s="20" t="n">
        <f aca="false">AB11/AB28</f>
        <v>13.6536432275084</v>
      </c>
      <c r="AC144" s="18"/>
      <c r="AD144" s="20" t="n">
        <f aca="false">AD11/AD28</f>
        <v>349.953160767741</v>
      </c>
      <c r="AE144" s="20" t="n">
        <f aca="false">AE11/AE28</f>
        <v>110.126999772538</v>
      </c>
      <c r="AF144" s="20" t="n">
        <f aca="false">AF11/AF28</f>
        <v>0</v>
      </c>
      <c r="AG144" s="20" t="n">
        <f aca="false">AG11/AG28</f>
        <v>100.078211906887</v>
      </c>
      <c r="AH144" s="20" t="n">
        <f aca="false">AH11/AH28</f>
        <v>101.665531180451</v>
      </c>
      <c r="AI144" s="20" t="n">
        <f aca="false">AI11/AI28</f>
        <v>93.8051305130513</v>
      </c>
      <c r="AJ144" s="20" t="n">
        <f aca="false">AJ11/AJ28</f>
        <v>114.679083333333</v>
      </c>
      <c r="AK144" s="18"/>
      <c r="AL144" s="20" t="n">
        <f aca="false">AL11/AL28</f>
        <v>105.918458884878</v>
      </c>
      <c r="AM144" s="20" t="n">
        <f aca="false">AM11/AM28</f>
        <v>4.3676296250078</v>
      </c>
      <c r="AN144" s="20" t="n">
        <f aca="false">AN11/AN28</f>
        <v>151.551886938365</v>
      </c>
      <c r="AO144" s="20" t="n">
        <f aca="false">AO11/AO28</f>
        <v>121.705338775714</v>
      </c>
      <c r="AP144" s="20" t="n">
        <f aca="false">AP11/AP28</f>
        <v>114.663725583611</v>
      </c>
      <c r="AQ144" s="20" t="n">
        <f aca="false">AQ11/AQ28</f>
        <v>109.181213373403</v>
      </c>
      <c r="AR144" s="20" t="n">
        <f aca="false">AR11/AR28</f>
        <v>122.360363815143</v>
      </c>
      <c r="AS144" s="20" t="n">
        <f aca="false">AS11/AS28</f>
        <v>0</v>
      </c>
      <c r="AT144" s="20" t="n">
        <f aca="false">AT11/AT28</f>
        <v>99.607070037298</v>
      </c>
      <c r="AU144" s="20" t="n">
        <f aca="false">AU11/AU28</f>
        <v>43.9777717976319</v>
      </c>
      <c r="AV144" s="20" t="n">
        <f aca="false">AV11/AV28</f>
        <v>626.756560509554</v>
      </c>
      <c r="AW144" s="20" t="e">
        <f aca="false">AW11/AW28</f>
        <v>#DIV/0!</v>
      </c>
      <c r="AX144" s="16"/>
      <c r="AY144" s="20" t="n">
        <f aca="false">AY11/AY28</f>
        <v>95.9708171092769</v>
      </c>
      <c r="AZ144" s="20" t="n">
        <f aca="false">AZ11/AZ28</f>
        <v>104.280821469893</v>
      </c>
      <c r="BA144" s="20" t="n">
        <f aca="false">BA11/BA28</f>
        <v>95.5511808685737</v>
      </c>
      <c r="BB144" s="20" t="n">
        <f aca="false">BB11/BB28</f>
        <v>24.1111653401412</v>
      </c>
      <c r="BC144" s="20" t="n">
        <f aca="false">BC11/BC28</f>
        <v>104.446623443318</v>
      </c>
      <c r="BD144" s="16"/>
      <c r="BE144" s="20" t="n">
        <f aca="false">BE11/BE28</f>
        <v>94.7978571713395</v>
      </c>
    </row>
    <row r="145" customFormat="false" ht="12.75" hidden="false" customHeight="true" outlineLevel="0" collapsed="false">
      <c r="A145" s="1" t="s">
        <v>113</v>
      </c>
      <c r="B145" s="1" t="n">
        <v>2025</v>
      </c>
      <c r="C145" s="17" t="s">
        <v>92</v>
      </c>
      <c r="D145" s="20" t="n">
        <f aca="false">D13/D29</f>
        <v>119.953594584287</v>
      </c>
      <c r="E145" s="20" t="e">
        <f aca="false">E13/E29</f>
        <v>#DIV/0!</v>
      </c>
      <c r="F145" s="20" t="n">
        <f aca="false">F13/F29</f>
        <v>0</v>
      </c>
      <c r="G145" s="20" t="n">
        <f aca="false">G13/G29</f>
        <v>122.668556476825</v>
      </c>
      <c r="H145" s="20" t="n">
        <f aca="false">H13/H29</f>
        <v>180.130219166309</v>
      </c>
      <c r="I145" s="20" t="n">
        <f aca="false">I13/I29</f>
        <v>135.275188992567</v>
      </c>
      <c r="J145" s="20" t="n">
        <f aca="false">J13/J29</f>
        <v>74.247049704142</v>
      </c>
      <c r="K145" s="20" t="n">
        <f aca="false">K13/K29</f>
        <v>0</v>
      </c>
      <c r="L145" s="20" t="n">
        <f aca="false">L13/L29</f>
        <v>74.1459847434119</v>
      </c>
      <c r="M145" s="20" t="n">
        <f aca="false">M13/M29</f>
        <v>52.2052572416775</v>
      </c>
      <c r="N145" s="18"/>
      <c r="O145" s="20" t="n">
        <f aca="false">O13/O29</f>
        <v>92.2009942638623</v>
      </c>
      <c r="P145" s="20" t="n">
        <f aca="false">P13/P29</f>
        <v>73.3713416030534</v>
      </c>
      <c r="Q145" s="20" t="n">
        <f aca="false">Q13/Q29</f>
        <v>47.2263890192398</v>
      </c>
      <c r="R145" s="20" t="n">
        <f aca="false">R13/R29</f>
        <v>112.361724683544</v>
      </c>
      <c r="S145" s="20" t="n">
        <f aca="false">S13/S29</f>
        <v>65.7656875973015</v>
      </c>
      <c r="T145" s="20" t="n">
        <f aca="false">T13/T29</f>
        <v>72.2739762881897</v>
      </c>
      <c r="U145" s="20" t="n">
        <f aca="false">U13/U29</f>
        <v>75.6556038047974</v>
      </c>
      <c r="V145" s="20" t="n">
        <f aca="false">V13/V29</f>
        <v>0</v>
      </c>
      <c r="W145" s="20" t="n">
        <f aca="false">W13/W29</f>
        <v>83.8600546396609</v>
      </c>
      <c r="X145" s="20" t="n">
        <f aca="false">X13/X29</f>
        <v>175.656498740554</v>
      </c>
      <c r="Y145" s="20" t="e">
        <f aca="false">Y13/Y29</f>
        <v>#DIV/0!</v>
      </c>
      <c r="Z145" s="18"/>
      <c r="AA145" s="20" t="n">
        <f aca="false">AA13/AA29</f>
        <v>344.689750692521</v>
      </c>
      <c r="AB145" s="20" t="n">
        <f aca="false">AB13/AB29</f>
        <v>0</v>
      </c>
      <c r="AC145" s="18"/>
      <c r="AD145" s="20" t="n">
        <f aca="false">AD13/AD29</f>
        <v>245.172345258376</v>
      </c>
      <c r="AE145" s="20" t="n">
        <f aca="false">AE13/AE29</f>
        <v>98.5245016203476</v>
      </c>
      <c r="AF145" s="20" t="n">
        <f aca="false">AF13/AF29</f>
        <v>0</v>
      </c>
      <c r="AG145" s="20" t="n">
        <f aca="false">AG13/AG29</f>
        <v>84.4343154983512</v>
      </c>
      <c r="AH145" s="20" t="n">
        <f aca="false">AH13/AH29</f>
        <v>90.2002075585921</v>
      </c>
      <c r="AI145" s="20" t="n">
        <f aca="false">AI13/AI29</f>
        <v>95.9300561521033</v>
      </c>
      <c r="AJ145" s="20" t="n">
        <f aca="false">AJ13/AJ29</f>
        <v>99.6757591353577</v>
      </c>
      <c r="AK145" s="18"/>
      <c r="AL145" s="20" t="n">
        <f aca="false">AL13/AL29</f>
        <v>122.619408121129</v>
      </c>
      <c r="AM145" s="20" t="n">
        <f aca="false">AM13/AM29</f>
        <v>121.285803278689</v>
      </c>
      <c r="AN145" s="20" t="e">
        <f aca="false">AN13/AN29</f>
        <v>#DIV/0!</v>
      </c>
      <c r="AO145" s="20" t="e">
        <f aca="false">AO13/AO29</f>
        <v>#DIV/0!</v>
      </c>
      <c r="AP145" s="20" t="n">
        <f aca="false">AP13/AP29</f>
        <v>94.4274445110978</v>
      </c>
      <c r="AQ145" s="20" t="n">
        <f aca="false">AQ13/AQ29</f>
        <v>59.6012198685172</v>
      </c>
      <c r="AR145" s="20" t="n">
        <f aca="false">AR13/AR29</f>
        <v>57.8912354224663</v>
      </c>
      <c r="AS145" s="20" t="n">
        <f aca="false">AS13/AS29</f>
        <v>0</v>
      </c>
      <c r="AT145" s="20" t="n">
        <f aca="false">AT13/AT29</f>
        <v>0</v>
      </c>
      <c r="AU145" s="20" t="n">
        <f aca="false">AU13/AU29</f>
        <v>153.018200312989</v>
      </c>
      <c r="AV145" s="20" t="e">
        <f aca="false">AV13/AV29</f>
        <v>#DIV/0!</v>
      </c>
      <c r="AW145" s="20" t="e">
        <f aca="false">AW13/AW29</f>
        <v>#DIV/0!</v>
      </c>
      <c r="AX145" s="16"/>
      <c r="AY145" s="20" t="n">
        <f aca="false">AY13/AY29</f>
        <v>67.0169223938033</v>
      </c>
      <c r="AZ145" s="20" t="n">
        <f aca="false">AZ13/AZ29</f>
        <v>107.42291354489</v>
      </c>
      <c r="BA145" s="20" t="n">
        <f aca="false">BA13/BA29</f>
        <v>72.7225471307707</v>
      </c>
      <c r="BB145" s="20" t="n">
        <f aca="false">BB13/BB29</f>
        <v>342.319119669876</v>
      </c>
      <c r="BC145" s="20" t="n">
        <f aca="false">BC13/BC29</f>
        <v>92.5011434401717</v>
      </c>
      <c r="BD145" s="16"/>
      <c r="BE145" s="20" t="n">
        <f aca="false">BE13/BE29</f>
        <v>88.6888328710773</v>
      </c>
    </row>
    <row r="146" customFormat="false" ht="12.75" hidden="false" customHeight="true" outlineLevel="0" collapsed="false">
      <c r="A146" s="1" t="s">
        <v>114</v>
      </c>
      <c r="B146" s="1" t="n">
        <v>2025</v>
      </c>
      <c r="C146" s="17" t="s">
        <v>92</v>
      </c>
      <c r="D146" s="20" t="n">
        <f aca="false">D15/(D30+D31)</f>
        <v>50.065253223528</v>
      </c>
      <c r="E146" s="20" t="n">
        <f aca="false">E15/(E30+E31)</f>
        <v>79.9916293725454</v>
      </c>
      <c r="F146" s="20" t="n">
        <f aca="false">F15/(F30+F31)</f>
        <v>50.0389299041487</v>
      </c>
      <c r="G146" s="20" t="n">
        <f aca="false">G15/(G30+G31)</f>
        <v>28.3858505643792</v>
      </c>
      <c r="H146" s="20" t="n">
        <f aca="false">H15/(H30+H31)</f>
        <v>58.3976498422713</v>
      </c>
      <c r="I146" s="20" t="n">
        <f aca="false">I15/(I30+I31)</f>
        <v>21.7993013831236</v>
      </c>
      <c r="J146" s="20" t="n">
        <f aca="false">J15/(J30+J31)</f>
        <v>40.1485826704119</v>
      </c>
      <c r="K146" s="20" t="n">
        <f aca="false">K15/(K30+K31)</f>
        <v>60.3302923832924</v>
      </c>
      <c r="L146" s="20" t="n">
        <f aca="false">L15/(L30+L31)</f>
        <v>86.901610881003</v>
      </c>
      <c r="M146" s="20" t="n">
        <f aca="false">M15/(M30+M31)</f>
        <v>112.059792276394</v>
      </c>
      <c r="N146" s="18"/>
      <c r="O146" s="20" t="n">
        <f aca="false">O15/(O30+O31)</f>
        <v>52.9473395333835</v>
      </c>
      <c r="P146" s="20" t="n">
        <f aca="false">P15/(P30+P31)</f>
        <v>100.636314127861</v>
      </c>
      <c r="Q146" s="20" t="n">
        <f aca="false">Q15/(Q30+Q31)</f>
        <v>43.2279283767481</v>
      </c>
      <c r="R146" s="20" t="n">
        <f aca="false">R15/(R30+R31)</f>
        <v>167.842829529576</v>
      </c>
      <c r="S146" s="20" t="n">
        <f aca="false">S15/(S30+S31)</f>
        <v>63.6321450555333</v>
      </c>
      <c r="T146" s="20" t="n">
        <f aca="false">T15/(T30+T31)</f>
        <v>91.7784091151102</v>
      </c>
      <c r="U146" s="20" t="n">
        <f aca="false">U15/(U30+U31)</f>
        <v>109.492298185455</v>
      </c>
      <c r="V146" s="20" t="n">
        <f aca="false">V15/(V30+V31)</f>
        <v>115.771569367799</v>
      </c>
      <c r="W146" s="20" t="n">
        <f aca="false">W15/(W30+W31)</f>
        <v>118.609399241761</v>
      </c>
      <c r="X146" s="20" t="n">
        <f aca="false">X15/(X30+X31)</f>
        <v>112.396008033369</v>
      </c>
      <c r="Y146" s="20" t="e">
        <f aca="false">Y15/(Y30+Y31)</f>
        <v>#DIV/0!</v>
      </c>
      <c r="Z146" s="18"/>
      <c r="AA146" s="20" t="n">
        <f aca="false">AA15/(AA30+AA31)</f>
        <v>886.126262626263</v>
      </c>
      <c r="AB146" s="20" t="n">
        <f aca="false">AB15/(AB30+AB31)</f>
        <v>79.6899441340782</v>
      </c>
      <c r="AC146" s="18"/>
      <c r="AD146" s="20" t="n">
        <f aca="false">AD15/(AD30+AD31)</f>
        <v>113.885882683132</v>
      </c>
      <c r="AE146" s="20" t="n">
        <f aca="false">AE15/(AE30+AE31)</f>
        <v>39.631721890277</v>
      </c>
      <c r="AF146" s="20" t="n">
        <f aca="false">AF15/(AF30+AF31)</f>
        <v>0</v>
      </c>
      <c r="AG146" s="20" t="n">
        <f aca="false">AG15/(AG30+AG31)</f>
        <v>39.3451356030006</v>
      </c>
      <c r="AH146" s="20" t="n">
        <f aca="false">AH15/(AH30+AH31)</f>
        <v>33.601330738481</v>
      </c>
      <c r="AI146" s="20" t="n">
        <f aca="false">AI15/(AI30+AI31)</f>
        <v>36.9403900458878</v>
      </c>
      <c r="AJ146" s="20" t="n">
        <f aca="false">AJ15/(AJ30+AJ31)</f>
        <v>62.0805750490099</v>
      </c>
      <c r="AK146" s="18"/>
      <c r="AL146" s="20" t="n">
        <f aca="false">AL15/(AL30+AL31)</f>
        <v>75.961637560836</v>
      </c>
      <c r="AM146" s="20" t="n">
        <f aca="false">AM15/(AM30+AM31)</f>
        <v>12.5169090590503</v>
      </c>
      <c r="AN146" s="20" t="n">
        <f aca="false">AN15/(AN30+AN31)</f>
        <v>103.770220893539</v>
      </c>
      <c r="AO146" s="20" t="n">
        <f aca="false">AO15/(AO30+AO31)</f>
        <v>87.3440616500453</v>
      </c>
      <c r="AP146" s="20" t="n">
        <f aca="false">AP15/(AP30+AP31)</f>
        <v>112.906141266527</v>
      </c>
      <c r="AQ146" s="20" t="n">
        <f aca="false">AQ15/(AQ30+AQ31)</f>
        <v>110.233363794966</v>
      </c>
      <c r="AR146" s="20" t="n">
        <f aca="false">AR15/(AR30+AR31)</f>
        <v>130.802124091671</v>
      </c>
      <c r="AS146" s="20" t="n">
        <f aca="false">AS15/(AS30+AS31)</f>
        <v>110.450411962161</v>
      </c>
      <c r="AT146" s="20" t="n">
        <f aca="false">AT15/(AT30+AT31)</f>
        <v>179.676211453745</v>
      </c>
      <c r="AU146" s="20" t="n">
        <f aca="false">AU15/(AU30+AU31)</f>
        <v>204.162654139753</v>
      </c>
      <c r="AV146" s="20" t="n">
        <f aca="false">AV15/(AV30+AV31)</f>
        <v>0</v>
      </c>
      <c r="AW146" s="20" t="e">
        <f aca="false">AW15/(AW30+AW31)</f>
        <v>#DIV/0!</v>
      </c>
      <c r="AX146" s="16"/>
      <c r="AY146" s="20" t="n">
        <f aca="false">AY15/(AY30+AY31)</f>
        <v>98.1874608633662</v>
      </c>
      <c r="AZ146" s="20" t="n">
        <f aca="false">AZ15/(AZ30+AZ31)</f>
        <v>45.5994659192467</v>
      </c>
      <c r="BA146" s="20" t="n">
        <f aca="false">BA15/(BA30+BA31)</f>
        <v>81.1423845524884</v>
      </c>
      <c r="BB146" s="20" t="n">
        <f aca="false">BB15/(BB30+BB31)</f>
        <v>98.626660341556</v>
      </c>
      <c r="BC146" s="20" t="n">
        <f aca="false">BC15/(BC30+BC31)</f>
        <v>40.4349611763108</v>
      </c>
      <c r="BD146" s="16"/>
      <c r="BE146" s="20" t="n">
        <f aca="false">BE15/(BE30+BE31)</f>
        <v>57.8224333885149</v>
      </c>
    </row>
    <row r="147" customFormat="false" ht="12.75" hidden="false" customHeight="true" outlineLevel="0" collapsed="false">
      <c r="A147" s="1" t="s">
        <v>115</v>
      </c>
      <c r="B147" s="1" t="n">
        <v>2025</v>
      </c>
      <c r="C147" s="17" t="s">
        <v>84</v>
      </c>
      <c r="D147" s="14" t="n">
        <f aca="false">D28/D116</f>
        <v>1662.0749692234</v>
      </c>
      <c r="E147" s="14" t="n">
        <f aca="false">E28/E116</f>
        <v>3133.46104725415</v>
      </c>
      <c r="F147" s="14" t="n">
        <f aca="false">F28/F116</f>
        <v>1706.56445145994</v>
      </c>
      <c r="G147" s="14" t="n">
        <f aca="false">G28/G116</f>
        <v>2159.25861466879</v>
      </c>
      <c r="H147" s="14" t="n">
        <f aca="false">H28/H116</f>
        <v>2448.97667892037</v>
      </c>
      <c r="I147" s="14" t="n">
        <f aca="false">I28/I116</f>
        <v>2970.7644652295</v>
      </c>
      <c r="J147" s="14" t="n">
        <f aca="false">J28/J116</f>
        <v>3018.732792418</v>
      </c>
      <c r="K147" s="14" t="n">
        <f aca="false">K28/K116</f>
        <v>2367.50590531418</v>
      </c>
      <c r="L147" s="14" t="n">
        <f aca="false">L28/L116</f>
        <v>3877.03608054535</v>
      </c>
      <c r="M147" s="14" t="n">
        <f aca="false">M28/M116</f>
        <v>1997.90201146565</v>
      </c>
      <c r="N147" s="18"/>
      <c r="O147" s="14" t="n">
        <f aca="false">O28/O116</f>
        <v>3246.73045735242</v>
      </c>
      <c r="P147" s="14" t="n">
        <f aca="false">P28/P116</f>
        <v>1384.79855672932</v>
      </c>
      <c r="Q147" s="14" t="n">
        <f aca="false">Q28/Q116</f>
        <v>2922.19983839241</v>
      </c>
      <c r="R147" s="14" t="e">
        <f aca="false">R28/R116</f>
        <v>#DIV/0!</v>
      </c>
      <c r="S147" s="14" t="n">
        <f aca="false">S28/S116</f>
        <v>3775.42468147908</v>
      </c>
      <c r="T147" s="14" t="n">
        <f aca="false">T28/T116</f>
        <v>1997.16086175217</v>
      </c>
      <c r="U147" s="14" t="n">
        <f aca="false">U28/U116</f>
        <v>2649.10523312783</v>
      </c>
      <c r="V147" s="14" t="n">
        <f aca="false">V28/V116</f>
        <v>1824.33076907335</v>
      </c>
      <c r="W147" s="14" t="n">
        <f aca="false">W28/W116</f>
        <v>2444.68557819314</v>
      </c>
      <c r="X147" s="14" t="n">
        <f aca="false">X28/X116</f>
        <v>6959.02777384696</v>
      </c>
      <c r="Y147" s="14" t="n">
        <f aca="false">Y28/Y116</f>
        <v>0</v>
      </c>
      <c r="Z147" s="18"/>
      <c r="AA147" s="14" t="n">
        <f aca="false">AA28/AA116</f>
        <v>3534.71564396729</v>
      </c>
      <c r="AB147" s="14" t="n">
        <f aca="false">AB28/AB116</f>
        <v>19042.536535316</v>
      </c>
      <c r="AC147" s="18"/>
      <c r="AD147" s="14" t="n">
        <f aca="false">AD28/AD116</f>
        <v>742.956570043836</v>
      </c>
      <c r="AE147" s="14" t="n">
        <f aca="false">AE28/AE116</f>
        <v>2360.91058992816</v>
      </c>
      <c r="AF147" s="14" t="e">
        <f aca="false">AF28/AF116</f>
        <v>#DIV/0!</v>
      </c>
      <c r="AG147" s="14" t="n">
        <f aca="false">AG28/AG116</f>
        <v>2597.9680796246</v>
      </c>
      <c r="AH147" s="14" t="n">
        <f aca="false">AH28/AH116</f>
        <v>2557.40561211953</v>
      </c>
      <c r="AI147" s="14" t="n">
        <f aca="false">AI28/AI116</f>
        <v>2771.70340873654</v>
      </c>
      <c r="AJ147" s="14" t="n">
        <f aca="false">AJ28/AJ116</f>
        <v>2267.19635737119</v>
      </c>
      <c r="AK147" s="18"/>
      <c r="AL147" s="14" t="n">
        <f aca="false">AL28/AL116</f>
        <v>2454.71849512645</v>
      </c>
      <c r="AM147" s="14" t="n">
        <f aca="false">AM28/AM116</f>
        <v>59528.8571428572</v>
      </c>
      <c r="AN147" s="14" t="n">
        <f aca="false">AN28/AN116</f>
        <v>1715.58405013947</v>
      </c>
      <c r="AO147" s="14" t="n">
        <f aca="false">AO28/AO116</f>
        <v>2136.30726979976</v>
      </c>
      <c r="AP147" s="14" t="n">
        <f aca="false">AP28/AP116</f>
        <v>2267.50001952807</v>
      </c>
      <c r="AQ147" s="14" t="n">
        <f aca="false">AQ28/AQ116</f>
        <v>2381.36206739882</v>
      </c>
      <c r="AR147" s="14" t="n">
        <f aca="false">AR28/AR116</f>
        <v>2124.87109300196</v>
      </c>
      <c r="AS147" s="14" t="e">
        <f aca="false">AS28/AS116</f>
        <v>#DIV/0!</v>
      </c>
      <c r="AT147" s="14" t="n">
        <f aca="false">AT28/AT116</f>
        <v>2610.25647981256</v>
      </c>
      <c r="AU147" s="14" t="n">
        <f aca="false">AU28/AU116</f>
        <v>5912.07761039864</v>
      </c>
      <c r="AV147" s="14" t="n">
        <f aca="false">AV28/AV116</f>
        <v>414.834110054819</v>
      </c>
      <c r="AW147" s="14" t="e">
        <f aca="false">AW28/AW116</f>
        <v>#DIV/0!</v>
      </c>
      <c r="AX147" s="16"/>
      <c r="AY147" s="14" t="n">
        <f aca="false">AY28/AY116</f>
        <v>2709.15688572237</v>
      </c>
      <c r="AZ147" s="14" t="n">
        <f aca="false">AZ28/AZ116</f>
        <v>2493.26766259763</v>
      </c>
      <c r="BA147" s="14" t="n">
        <f aca="false">BA28/BA116</f>
        <v>2721.05480682252</v>
      </c>
      <c r="BB147" s="14" t="n">
        <f aca="false">BB28/BB116</f>
        <v>10783.3858850091</v>
      </c>
      <c r="BC147" s="14" t="n">
        <f aca="false">BC28/BC116</f>
        <v>2489.30976826743</v>
      </c>
      <c r="BD147" s="16"/>
      <c r="BE147" s="14" t="n">
        <f aca="false">BE28/BE116</f>
        <v>2742.67802836588</v>
      </c>
    </row>
    <row r="148" customFormat="false" ht="12.75" hidden="false" customHeight="true" outlineLevel="0" collapsed="false">
      <c r="A148" s="1" t="s">
        <v>116</v>
      </c>
      <c r="B148" s="1" t="n">
        <v>2025</v>
      </c>
      <c r="C148" s="17" t="s">
        <v>84</v>
      </c>
      <c r="D148" s="14" t="n">
        <f aca="false">D29/D117</f>
        <v>1333.8491485353</v>
      </c>
      <c r="E148" s="14" t="e">
        <f aca="false">E29/E117</f>
        <v>#DIV/0!</v>
      </c>
      <c r="F148" s="14" t="e">
        <f aca="false">F29/F117</f>
        <v>#DIV/0!</v>
      </c>
      <c r="G148" s="14" t="n">
        <f aca="false">G29/G117</f>
        <v>1304.32773153427</v>
      </c>
      <c r="H148" s="14" t="n">
        <f aca="false">H29/H117</f>
        <v>888.246296154656</v>
      </c>
      <c r="I148" s="14" t="n">
        <f aca="false">I29/I117</f>
        <v>1182.77417456642</v>
      </c>
      <c r="J148" s="14" t="n">
        <f aca="false">J29/J117</f>
        <v>2154.96778171745</v>
      </c>
      <c r="K148" s="14" t="e">
        <f aca="false">K29/K117</f>
        <v>#DIV/0!</v>
      </c>
      <c r="L148" s="14" t="n">
        <f aca="false">L29/L117</f>
        <v>2157.9051185805</v>
      </c>
      <c r="M148" s="14" t="n">
        <f aca="false">M29/M117</f>
        <v>3064.82543049833</v>
      </c>
      <c r="N148" s="18"/>
      <c r="O148" s="14" t="n">
        <f aca="false">O29/O117</f>
        <v>1735.3392040666</v>
      </c>
      <c r="P148" s="14" t="n">
        <f aca="false">P29/P117</f>
        <v>2180.68794306116</v>
      </c>
      <c r="Q148" s="14" t="n">
        <f aca="false">Q29/Q117</f>
        <v>3387.93634920546</v>
      </c>
      <c r="R148" s="14" t="n">
        <f aca="false">R29/R117</f>
        <v>1423.97244658378</v>
      </c>
      <c r="S148" s="14" t="n">
        <f aca="false">S29/S117</f>
        <v>2432.87960402265</v>
      </c>
      <c r="T148" s="14" t="n">
        <f aca="false">T29/T117</f>
        <v>2213.79821918205</v>
      </c>
      <c r="U148" s="14" t="n">
        <f aca="false">U29/U117</f>
        <v>2114.84664655937</v>
      </c>
      <c r="V148" s="14" t="e">
        <f aca="false">V29/V117</f>
        <v>#DIV/0!</v>
      </c>
      <c r="W148" s="14" t="n">
        <f aca="false">W29/W117</f>
        <v>1907.94056464077</v>
      </c>
      <c r="X148" s="14" t="n">
        <f aca="false">X29/X117</f>
        <v>910.868662117199</v>
      </c>
      <c r="Y148" s="14" t="n">
        <f aca="false">Y29/Y117</f>
        <v>0</v>
      </c>
      <c r="Z148" s="18"/>
      <c r="AA148" s="14" t="n">
        <f aca="false">AA29/AA117</f>
        <v>464.185545635</v>
      </c>
      <c r="AB148" s="14" t="e">
        <f aca="false">AB29/AB117</f>
        <v>#DIV/0!</v>
      </c>
      <c r="AC148" s="18"/>
      <c r="AD148" s="14" t="n">
        <f aca="false">AD29/AD117</f>
        <v>652.602151484024</v>
      </c>
      <c r="AE148" s="14" t="n">
        <f aca="false">AE29/AE117</f>
        <v>1623.96152600234</v>
      </c>
      <c r="AF148" s="14" t="e">
        <f aca="false">AF29/AF117</f>
        <v>#DIV/0!</v>
      </c>
      <c r="AG148" s="14" t="n">
        <f aca="false">AG29/AG117</f>
        <v>1894.96413935072</v>
      </c>
      <c r="AH148" s="14" t="n">
        <f aca="false">AH29/AH117</f>
        <v>1773.83183842529</v>
      </c>
      <c r="AI148" s="14" t="n">
        <f aca="false">AI29/AI117</f>
        <v>1667.88185494554</v>
      </c>
      <c r="AJ148" s="14" t="n">
        <f aca="false">AJ29/AJ117</f>
        <v>1605.20472969484</v>
      </c>
      <c r="AK148" s="18"/>
      <c r="AL148" s="14" t="n">
        <f aca="false">AL29/AL117</f>
        <v>1304.85053264933</v>
      </c>
      <c r="AM148" s="14" t="n">
        <f aca="false">AM29/AM117</f>
        <v>1319.19808975791</v>
      </c>
      <c r="AN148" s="14" t="e">
        <f aca="false">AN29/AN117</f>
        <v>#DIV/0!</v>
      </c>
      <c r="AO148" s="14" t="e">
        <f aca="false">AO29/AO117</f>
        <v>#DIV/0!</v>
      </c>
      <c r="AP148" s="14" t="n">
        <f aca="false">AP29/AP117</f>
        <v>1694.42264193855</v>
      </c>
      <c r="AQ148" s="14" t="n">
        <f aca="false">AQ29/AQ117</f>
        <v>2684.50881295663</v>
      </c>
      <c r="AR148" s="14" t="n">
        <f aca="false">AR29/AR117</f>
        <v>2763.80351589297</v>
      </c>
      <c r="AS148" s="14" t="e">
        <f aca="false">AS29/AS117</f>
        <v>#DIV/0!</v>
      </c>
      <c r="AT148" s="14" t="e">
        <f aca="false">AT29/AT117</f>
        <v>#DIV/0!</v>
      </c>
      <c r="AU148" s="14" t="n">
        <f aca="false">AU29/AU117</f>
        <v>1045.62725004431</v>
      </c>
      <c r="AV148" s="14" t="e">
        <f aca="false">AV29/AV117</f>
        <v>#DIV/0!</v>
      </c>
      <c r="AW148" s="14" t="e">
        <f aca="false">AW29/AW117</f>
        <v>#DIV/0!</v>
      </c>
      <c r="AX148" s="16"/>
      <c r="AY148" s="14" t="n">
        <f aca="false">AY29/AY117</f>
        <v>2387.456694293</v>
      </c>
      <c r="AZ148" s="14" t="n">
        <f aca="false">AZ29/AZ117</f>
        <v>1489.44014568307</v>
      </c>
      <c r="BA148" s="14" t="n">
        <f aca="false">BA29/BA117</f>
        <v>2200.1429585832</v>
      </c>
      <c r="BB148" s="14" t="n">
        <f aca="false">BB29/BB117</f>
        <v>467.400126975963</v>
      </c>
      <c r="BC148" s="14" t="n">
        <f aca="false">BC29/BC117</f>
        <v>1729.7083479134</v>
      </c>
      <c r="BD148" s="16"/>
      <c r="BE148" s="14" t="n">
        <f aca="false">BE29/BE117</f>
        <v>1804.06027253267</v>
      </c>
    </row>
    <row r="149" customFormat="false" ht="12.75" hidden="false" customHeight="true" outlineLevel="0" collapsed="false">
      <c r="A149" s="1" t="s">
        <v>117</v>
      </c>
      <c r="B149" s="1" t="n">
        <v>2025</v>
      </c>
      <c r="C149" s="17" t="s">
        <v>84</v>
      </c>
      <c r="D149" s="14" t="n">
        <f aca="false">(D30+D31)/D119</f>
        <v>1997.39327300567</v>
      </c>
      <c r="E149" s="14" t="n">
        <f aca="false">(E30+E31)/E119</f>
        <v>1250.13080474045</v>
      </c>
      <c r="F149" s="14" t="n">
        <f aca="false">(F30+F31)/F119</f>
        <v>1998.44401532074</v>
      </c>
      <c r="G149" s="14" t="n">
        <f aca="false">(G30+G31)/G119</f>
        <v>3522.8819292626</v>
      </c>
      <c r="H149" s="14" t="n">
        <f aca="false">(H30+H31)/H119</f>
        <v>1712.39767816161</v>
      </c>
      <c r="I149" s="14" t="n">
        <f aca="false">(I30+I31)/I119</f>
        <v>4587.30297097581</v>
      </c>
      <c r="J149" s="14" t="n">
        <f aca="false">(J30+J31)/J119</f>
        <v>2490.74795045496</v>
      </c>
      <c r="K149" s="14" t="n">
        <f aca="false">(K30+K31)/K119</f>
        <v>1657.54210778023</v>
      </c>
      <c r="L149" s="14" t="n">
        <f aca="false">(L30+L31)/L119</f>
        <v>1150.72665496308</v>
      </c>
      <c r="M149" s="14" t="n">
        <f aca="false">(M30+M31)/M119</f>
        <v>892.380736824423</v>
      </c>
      <c r="N149" s="18"/>
      <c r="O149" s="14" t="n">
        <f aca="false">(O30+O31)/O119</f>
        <v>1888.66902249073</v>
      </c>
      <c r="P149" s="14" t="n">
        <f aca="false">(P30+P31)/P119</f>
        <v>993.677092276525</v>
      </c>
      <c r="Q149" s="14" t="n">
        <f aca="false">(Q30+Q31)/Q119</f>
        <v>2313.31927656725</v>
      </c>
      <c r="R149" s="14" t="n">
        <f aca="false">(R30+R31)/R119</f>
        <v>595.795484860905</v>
      </c>
      <c r="S149" s="14" t="n">
        <f aca="false">(S30+S31)/S119</f>
        <v>1571.53275145334</v>
      </c>
      <c r="T149" s="14" t="n">
        <f aca="false">(T30+T31)/T119</f>
        <v>1089.58088252083</v>
      </c>
      <c r="U149" s="14" t="n">
        <f aca="false">(U30+U31)/U119</f>
        <v>913.306247628694</v>
      </c>
      <c r="V149" s="14" t="n">
        <f aca="false">(V30+V31)/V119</f>
        <v>863.769926814294</v>
      </c>
      <c r="W149" s="14" t="n">
        <f aca="false">(W30+W31)/W119</f>
        <v>843.103503088909</v>
      </c>
      <c r="X149" s="14" t="n">
        <f aca="false">(X30+X31)/X119</f>
        <v>889.711314038047</v>
      </c>
      <c r="Y149" s="14" t="n">
        <f aca="false">(Y30+Y31)/Y119</f>
        <v>0</v>
      </c>
      <c r="Z149" s="18"/>
      <c r="AA149" s="14" t="n">
        <f aca="false">(AA30+AA31)/AA119</f>
        <v>112.85073495466</v>
      </c>
      <c r="AB149" s="14" t="n">
        <f aca="false">(AB30+AB31)/AB119</f>
        <v>1254.8634722563</v>
      </c>
      <c r="AC149" s="18"/>
      <c r="AD149" s="14" t="n">
        <f aca="false">(AD30+AD31)/AD119</f>
        <v>878.071958033927</v>
      </c>
      <c r="AE149" s="14" t="n">
        <f aca="false">(AE30+AE31)/AE119</f>
        <v>2523.23127107261</v>
      </c>
      <c r="AF149" s="14" t="e">
        <f aca="false">(AF30+AF31)/AF119</f>
        <v>#DIV/0!</v>
      </c>
      <c r="AG149" s="14" t="n">
        <f aca="false">(AG30+AG31)/AG119</f>
        <v>2541.61025162088</v>
      </c>
      <c r="AH149" s="14" t="n">
        <f aca="false">(AH30+AH31)/AH119</f>
        <v>2976.0726079065</v>
      </c>
      <c r="AI149" s="14" t="n">
        <f aca="false">(AI30+AI31)/AI119</f>
        <v>2707.06399893934</v>
      </c>
      <c r="AJ149" s="14" t="n">
        <f aca="false">(AJ30+AJ31)/AJ119</f>
        <v>1610.80982128555</v>
      </c>
      <c r="AK149" s="18"/>
      <c r="AL149" s="14" t="n">
        <f aca="false">(AL30+AL31)/AL119</f>
        <v>1316.45397875885</v>
      </c>
      <c r="AM149" s="14" t="n">
        <f aca="false">(AM30+AM31)/AM119</f>
        <v>7989.19282134558</v>
      </c>
      <c r="AN149" s="14" t="n">
        <f aca="false">(AN30+AN31)/AN119</f>
        <v>963.667602698782</v>
      </c>
      <c r="AO149" s="14" t="n">
        <f aca="false">(AO30+AO31)/AO119</f>
        <v>1144.89752492462</v>
      </c>
      <c r="AP149" s="14" t="n">
        <f aca="false">(AP30+AP31)/AP119</f>
        <v>885.691414818073</v>
      </c>
      <c r="AQ149" s="14" t="n">
        <f aca="false">(AQ30+AQ31)/AQ119</f>
        <v>907.166365584202</v>
      </c>
      <c r="AR149" s="14" t="n">
        <f aca="false">(AR30+AR31)/AR119</f>
        <v>764.513578769684</v>
      </c>
      <c r="AS149" s="14" t="n">
        <f aca="false">(AS30+AS31)/AS119</f>
        <v>905.38367601797</v>
      </c>
      <c r="AT149" s="14" t="n">
        <f aca="false">(AT30+AT31)/AT119</f>
        <v>556.55670381131</v>
      </c>
      <c r="AU149" s="14" t="n">
        <f aca="false">(AU30+AU31)/AU119</f>
        <v>489.80554461027</v>
      </c>
      <c r="AV149" s="14" t="e">
        <f aca="false">(AV30+AV31)/AV119</f>
        <v>#DIV/0!</v>
      </c>
      <c r="AW149" s="14" t="e">
        <f aca="false">(AW30+AW31)/AW119</f>
        <v>#DIV/0!</v>
      </c>
      <c r="AX149" s="16"/>
      <c r="AY149" s="14" t="n">
        <f aca="false">(AY30+AY31)/AY119</f>
        <v>1018.4599858342</v>
      </c>
      <c r="AZ149" s="14" t="n">
        <f aca="false">(AZ30+AZ31)/AZ119</f>
        <v>2193.00814130351</v>
      </c>
      <c r="BA149" s="14" t="n">
        <f aca="false">(BA30+BA31)/BA119</f>
        <v>1232.40154392201</v>
      </c>
      <c r="BB149" s="14" t="n">
        <f aca="false">(BB30+BB31)/BB119</f>
        <v>1013.9246290373</v>
      </c>
      <c r="BC149" s="14" t="n">
        <f aca="false">(BC30+BC31)/BC119</f>
        <v>2473.10735786204</v>
      </c>
      <c r="BD149" s="16"/>
      <c r="BE149" s="14" t="n">
        <f aca="false">(BE30+BE31)/BE119</f>
        <v>1729.43257728518</v>
      </c>
    </row>
    <row r="150" customFormat="false" ht="12.75" hidden="false" customHeight="true" outlineLevel="0" collapsed="false">
      <c r="A150" s="1" t="s">
        <v>118</v>
      </c>
      <c r="B150" s="1" t="n">
        <v>2025</v>
      </c>
      <c r="C150" s="17" t="s">
        <v>92</v>
      </c>
      <c r="D150" s="18" t="n">
        <f aca="false">D39/(D35+D37)</f>
        <v>2.08910891089109</v>
      </c>
      <c r="E150" s="18" t="n">
        <f aca="false">E39/(E35+E37)</f>
        <v>3.12592592592593</v>
      </c>
      <c r="F150" s="18" t="n">
        <f aca="false">F39/(F35+F37)</f>
        <v>3.27301587301587</v>
      </c>
      <c r="G150" s="18" t="n">
        <f aca="false">G39/(G35+G37)</f>
        <v>0.777644230769231</v>
      </c>
      <c r="H150" s="18" t="n">
        <f aca="false">H39/(H35+H37)</f>
        <v>0.905898876404494</v>
      </c>
      <c r="I150" s="18" t="n">
        <f aca="false">I39/(I35+I37)</f>
        <v>1.31</v>
      </c>
      <c r="J150" s="18" t="n">
        <f aca="false">J39/(J35+J37)</f>
        <v>1.73636363636364</v>
      </c>
      <c r="K150" s="18" t="n">
        <f aca="false">K39/(K35+K37)</f>
        <v>2.2906976744186</v>
      </c>
      <c r="L150" s="18" t="n">
        <f aca="false">L39/(L35+L37)</f>
        <v>5.26</v>
      </c>
      <c r="M150" s="18" t="n">
        <f aca="false">M39/(M35+M37)</f>
        <v>2.93428571428571</v>
      </c>
      <c r="N150" s="18"/>
      <c r="O150" s="18" t="n">
        <f aca="false">O39/(O35+O37)</f>
        <v>1.14331210191083</v>
      </c>
      <c r="P150" s="18" t="n">
        <f aca="false">P39/(P35+P37)</f>
        <v>2.09756097560976</v>
      </c>
      <c r="Q150" s="18" t="n">
        <f aca="false">Q39/(Q35+Q37)</f>
        <v>1.38377723970944</v>
      </c>
      <c r="R150" s="18" t="n">
        <f aca="false">R39/(R35+R37)</f>
        <v>3.47777777777778</v>
      </c>
      <c r="S150" s="18" t="n">
        <f aca="false">S39/(S35+S37)</f>
        <v>1.71398305084746</v>
      </c>
      <c r="T150" s="18" t="n">
        <f aca="false">T39/(T35+T37)</f>
        <v>1.43603133159269</v>
      </c>
      <c r="U150" s="18" t="n">
        <f aca="false">U39/(U35+U37)</f>
        <v>1.8671875</v>
      </c>
      <c r="V150" s="18" t="n">
        <f aca="false">V39/(V35+V37)</f>
        <v>1.76815642458101</v>
      </c>
      <c r="W150" s="18" t="n">
        <f aca="false">W39/(W35+W37)</f>
        <v>2.01946107784431</v>
      </c>
      <c r="X150" s="18" t="n">
        <f aca="false">X39/(X35+X37)</f>
        <v>6.84971098265896</v>
      </c>
      <c r="Y150" s="18" t="n">
        <f aca="false">Y39/(Y35+Y37)</f>
        <v>2.95528455284553</v>
      </c>
      <c r="Z150" s="18"/>
      <c r="AA150" s="18" t="n">
        <f aca="false">AA39/(AA35+AA37)</f>
        <v>0.922727272727273</v>
      </c>
      <c r="AB150" s="18" t="e">
        <f aca="false">AB39/(AB35+AB37)</f>
        <v>#DIV/0!</v>
      </c>
      <c r="AC150" s="18"/>
      <c r="AD150" s="18" t="n">
        <f aca="false">AD39/(AD35+AD37)</f>
        <v>0.878551136363637</v>
      </c>
      <c r="AE150" s="18" t="n">
        <f aca="false">AE39/(AE35+AE37)</f>
        <v>0.874638379942141</v>
      </c>
      <c r="AF150" s="18" t="n">
        <f aca="false">AF39/(AF35+AF37)</f>
        <v>1.33333333333333</v>
      </c>
      <c r="AG150" s="18" t="n">
        <f aca="false">AG39/(AG35+AG37)</f>
        <v>1.11598746081505</v>
      </c>
      <c r="AH150" s="18" t="n">
        <f aca="false">AH39/(AH35+AH37)</f>
        <v>1.24961715160796</v>
      </c>
      <c r="AI150" s="18" t="n">
        <f aca="false">AI39/(AI35+AI37)</f>
        <v>1.1697699890471</v>
      </c>
      <c r="AJ150" s="18" t="n">
        <f aca="false">AJ39/(AJ35+AJ37)</f>
        <v>1.70260663507109</v>
      </c>
      <c r="AK150" s="18"/>
      <c r="AL150" s="18" t="n">
        <f aca="false">AL39/(AL35+AL37)</f>
        <v>1.35714285714286</v>
      </c>
      <c r="AM150" s="18" t="n">
        <f aca="false">AM39/(AM35+AM37)</f>
        <v>0.593073593073593</v>
      </c>
      <c r="AN150" s="18" t="n">
        <f aca="false">AN39/(AN35+AN37)</f>
        <v>1.41666666666667</v>
      </c>
      <c r="AO150" s="18" t="n">
        <f aca="false">AO39/(AO35+AO37)</f>
        <v>1.1</v>
      </c>
      <c r="AP150" s="18" t="n">
        <f aca="false">AP39/(AP35+AP37)</f>
        <v>1.6953316953317</v>
      </c>
      <c r="AQ150" s="18" t="n">
        <f aca="false">AQ39/(AQ35+AQ37)</f>
        <v>1.7</v>
      </c>
      <c r="AR150" s="18" t="n">
        <f aca="false">AR39/(AR35+AR37)</f>
        <v>1.07619047619048</v>
      </c>
      <c r="AS150" s="18" t="n">
        <f aca="false">AS39/(AS35+AS37)</f>
        <v>16.5333333333333</v>
      </c>
      <c r="AT150" s="18" t="n">
        <f aca="false">AT39/(AT35+AT37)</f>
        <v>0.422907488986784</v>
      </c>
      <c r="AU150" s="18" t="n">
        <f aca="false">AU39/(AU35+AU37)</f>
        <v>2.75</v>
      </c>
      <c r="AV150" s="18" t="n">
        <f aca="false">AV39/(AV35+AV37)</f>
        <v>2.53846153846154</v>
      </c>
      <c r="AW150" s="18" t="e">
        <f aca="false">AW39/(AW35+AW37)</f>
        <v>#DIV/0!</v>
      </c>
      <c r="AX150" s="16"/>
      <c r="AY150" s="18" t="n">
        <f aca="false">AY39/(AY35+AY37)</f>
        <v>1.33949520085318</v>
      </c>
      <c r="AZ150" s="18" t="n">
        <f aca="false">AZ39/(AZ35+AZ37)</f>
        <v>1.73221586263287</v>
      </c>
      <c r="BA150" s="18" t="n">
        <f aca="false">BA39/(BA35+BA37)</f>
        <v>1.93996084402871</v>
      </c>
      <c r="BB150" s="18" t="n">
        <f aca="false">BB39/(BB35+BB37)</f>
        <v>4.33636363636364</v>
      </c>
      <c r="BC150" s="18" t="n">
        <f aca="false">BC39/(BC35+BC37)</f>
        <v>1.1532795013458</v>
      </c>
      <c r="BD150" s="16"/>
      <c r="BE150" s="18" t="n">
        <f aca="false">BE39/(BE35+BE37)</f>
        <v>1.51929088148611</v>
      </c>
    </row>
    <row r="151" customFormat="false" ht="12.75" hidden="false" customHeight="true" outlineLevel="0" collapsed="false">
      <c r="C151" s="17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6"/>
      <c r="AY151" s="18"/>
      <c r="AZ151" s="18"/>
      <c r="BA151" s="18"/>
      <c r="BB151" s="18"/>
      <c r="BC151" s="18"/>
      <c r="BD151" s="16"/>
      <c r="BE151" s="18"/>
    </row>
    <row r="152" customFormat="false" ht="12.75" hidden="false" customHeight="true" outlineLevel="0" collapsed="false">
      <c r="C152" s="17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6"/>
      <c r="AY152" s="18"/>
      <c r="AZ152" s="18"/>
      <c r="BA152" s="18"/>
      <c r="BB152" s="18"/>
      <c r="BC152" s="18"/>
      <c r="BD152" s="16"/>
      <c r="BE152" s="18"/>
    </row>
    <row r="153" customFormat="false" ht="12.75" hidden="false" customHeight="true" outlineLevel="0" collapsed="false">
      <c r="A153" s="11" t="s">
        <v>119</v>
      </c>
      <c r="B153" s="12"/>
      <c r="C153" s="15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6"/>
      <c r="AY153" s="18"/>
      <c r="AZ153" s="18"/>
      <c r="BA153" s="18"/>
      <c r="BB153" s="18"/>
      <c r="BC153" s="18"/>
      <c r="BD153" s="16"/>
      <c r="BE153" s="18"/>
    </row>
    <row r="154" customFormat="false" ht="12.75" hidden="false" customHeight="true" outlineLevel="0" collapsed="false"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6"/>
      <c r="AY154" s="18"/>
      <c r="AZ154" s="18"/>
      <c r="BA154" s="18"/>
      <c r="BB154" s="18"/>
      <c r="BC154" s="18"/>
      <c r="BD154" s="16"/>
      <c r="BE154" s="18"/>
    </row>
    <row r="155" customFormat="false" ht="12.75" hidden="false" customHeight="true" outlineLevel="0" collapsed="false">
      <c r="A155" s="1" t="s">
        <v>77</v>
      </c>
      <c r="B155" s="1" t="n">
        <v>2025</v>
      </c>
      <c r="C155" s="1" t="s">
        <v>52</v>
      </c>
      <c r="D155" s="14" t="n">
        <f aca="false">SUMIF($C$44:$C$57, $C155, D$44:D$57)</f>
        <v>3416028</v>
      </c>
      <c r="E155" s="14" t="n">
        <f aca="false">SUMIF($C$44:$C$57, $C155, E$44:E$57)</f>
        <v>1715000</v>
      </c>
      <c r="F155" s="14" t="n">
        <f aca="false">SUMIF($C$44:$C$57, $C155, F$44:F$57)</f>
        <v>1751577</v>
      </c>
      <c r="G155" s="14" t="n">
        <f aca="false">SUMIF($C$44:$C$57, $C155, G$44:G$57)</f>
        <v>4057453</v>
      </c>
      <c r="H155" s="14" t="n">
        <f aca="false">SUMIF($C$44:$C$57, $C155, H$44:H$57)</f>
        <v>3508057</v>
      </c>
      <c r="I155" s="14" t="n">
        <f aca="false">SUMIF($C$44:$C$57, $C155, I$44:I$57)</f>
        <v>5543738</v>
      </c>
      <c r="J155" s="14" t="n">
        <f aca="false">SUMIF($C$44:$C$57, $C155, J$44:J$57)</f>
        <v>5367869</v>
      </c>
      <c r="K155" s="14" t="n">
        <f aca="false">SUMIF($C$44:$C$57, $C155, K$44:K$57)</f>
        <v>1253176</v>
      </c>
      <c r="L155" s="14" t="n">
        <f aca="false">SUMIF($C$44:$C$57, $C155, L$44:L$57)</f>
        <v>1507787</v>
      </c>
      <c r="M155" s="14"/>
      <c r="N155" s="14"/>
      <c r="O155" s="14" t="n">
        <f aca="false">SUMIF($C$44:$C$57, $C155, O$44:O$57)</f>
        <v>4677400</v>
      </c>
      <c r="P155" s="14" t="n">
        <f aca="false">SUMIF($C$44:$C$57, $C155, P$44:P$57)</f>
        <v>3644604</v>
      </c>
      <c r="Q155" s="14" t="n">
        <f aca="false">SUMIF($C$44:$C$57, $C155, Q$44:Q$57)</f>
        <v>4871496</v>
      </c>
      <c r="R155" s="14" t="n">
        <f aca="false">SUMIF($C$44:$C$57, $C155, R$44:R$57)</f>
        <v>1188163</v>
      </c>
      <c r="S155" s="14" t="n">
        <f aca="false">SUMIF($C$44:$C$57, $C155, S$44:S$57)</f>
        <v>3201042</v>
      </c>
      <c r="T155" s="14" t="n">
        <f aca="false">SUMIF($C$44:$C$57, $C155, T$44:T$57)</f>
        <v>3432203</v>
      </c>
      <c r="U155" s="14" t="n">
        <f aca="false">SUMIF($C$44:$C$57, $C155, U$44:U$57)</f>
        <v>4001546</v>
      </c>
      <c r="V155" s="14" t="n">
        <f aca="false">SUMIF($C$44:$C$57, $C155, V$44:V$57)</f>
        <v>3740412</v>
      </c>
      <c r="W155" s="14" t="n">
        <f aca="false">SUMIF($C$44:$C$57, $C155, W$44:W$57)</f>
        <v>6737920</v>
      </c>
      <c r="X155" s="14"/>
      <c r="Y155" s="14"/>
      <c r="Z155" s="14" t="n">
        <f aca="false">SUMIF($C$44:$C$57, $C155, Z$44:Z$57)</f>
        <v>0</v>
      </c>
      <c r="AA155" s="14" t="n">
        <f aca="false">SUMIF($C$44:$C$57, $C155, AA$44:AA$57)</f>
        <v>1086832</v>
      </c>
      <c r="AB155" s="14" t="n">
        <f aca="false">SUMIF($C$44:$C$57, $C155, AB$44:AB$57)</f>
        <v>1056408</v>
      </c>
      <c r="AC155" s="14" t="n">
        <f aca="false">SUMIF($C$44:$C$57, $C155, AC$44:AC$57)</f>
        <v>0</v>
      </c>
      <c r="AD155" s="14" t="n">
        <f aca="false">SUMIF($C$44:$C$57, $C155, AD$44:AD$57)</f>
        <v>3517326</v>
      </c>
      <c r="AE155" s="14" t="n">
        <f aca="false">SUMIF($C$44:$C$57, $C155, AE$44:AE$57)</f>
        <v>3377712</v>
      </c>
      <c r="AF155" s="14" t="n">
        <f aca="false">SUMIF($C$44:$C$57, $C155, AF$44:AF$57)</f>
        <v>2644668</v>
      </c>
      <c r="AG155" s="14" t="n">
        <f aca="false">SUMIF($C$44:$C$57, $C155, AG$44:AG$57)</f>
        <v>4986884</v>
      </c>
      <c r="AH155" s="14" t="n">
        <f aca="false">SUMIF($C$44:$C$57, $C155, AH$44:AH$57)</f>
        <v>7469159</v>
      </c>
      <c r="AI155" s="14" t="n">
        <f aca="false">SUMIF($C$44:$C$57, $C155, AI$44:AI$57)</f>
        <v>4877447</v>
      </c>
      <c r="AJ155" s="14"/>
      <c r="AK155" s="14"/>
      <c r="AL155" s="14" t="n">
        <f aca="false">SUMIF($C$44:$C$57, $C155, AL$44:AL$57)</f>
        <v>4454246</v>
      </c>
      <c r="AM155" s="14" t="n">
        <f aca="false">SUMIF($C$44:$C$57, $C155, AM$44:AM$57)</f>
        <v>2755435</v>
      </c>
      <c r="AN155" s="14" t="n">
        <f aca="false">SUMIF($C$44:$C$57, $C155, AN$44:AN$57)</f>
        <v>4431581</v>
      </c>
      <c r="AO155" s="14" t="n">
        <f aca="false">SUMIF($C$44:$C$57, $C155, AO$44:AO$57)</f>
        <v>7448576</v>
      </c>
      <c r="AP155" s="14" t="n">
        <f aca="false">SUMIF($C$44:$C$57, $C155, AP$44:AP$57)</f>
        <v>4971977</v>
      </c>
      <c r="AQ155" s="14" t="n">
        <f aca="false">SUMIF($C$44:$C$57, $C155, AQ$44:AQ$57)</f>
        <v>4804322</v>
      </c>
      <c r="AR155" s="14" t="n">
        <f aca="false">SUMIF($C$44:$C$57, $C155, AR$44:AR$57)</f>
        <v>4591994</v>
      </c>
      <c r="AS155" s="14" t="n">
        <f aca="false">SUMIF($C$44:$C$57, $C155, AS$44:AS$57)</f>
        <v>1146371</v>
      </c>
      <c r="AT155" s="14"/>
      <c r="AU155" s="14"/>
      <c r="AV155" s="14"/>
      <c r="AW155" s="14"/>
      <c r="AX155" s="16"/>
      <c r="AY155" s="14" t="n">
        <f aca="false">SUMIF($C$44:$C$57, $C155, AY$44:AY$57)</f>
        <v>34604502</v>
      </c>
      <c r="AZ155" s="14" t="n">
        <f aca="false">SUMIF($C$44:$C$57, $C155, AZ$44:AZ$57)</f>
        <v>28120685</v>
      </c>
      <c r="BA155" s="14" t="n">
        <f aca="false">SUMIF($C$44:$C$57, $C155, BA$44:BA$57)</f>
        <v>35494786</v>
      </c>
      <c r="BB155" s="14" t="n">
        <f aca="false">SUMIF($C$44:$C$57, $C155, BB$44:BB$57)</f>
        <v>2143240</v>
      </c>
      <c r="BC155" s="14" t="n">
        <f aca="false">SUMIF($C$44:$C$57, $C155, BC$44:BC$57)</f>
        <v>26873196</v>
      </c>
      <c r="BD155" s="14"/>
      <c r="BE155" s="14" t="n">
        <f aca="false">SUMIF($C$44:$C$57, $C155, BE$44:BE$57)</f>
        <v>127236409</v>
      </c>
    </row>
    <row r="156" customFormat="false" ht="12.75" hidden="false" customHeight="true" outlineLevel="0" collapsed="false">
      <c r="A156" s="1" t="s">
        <v>77</v>
      </c>
      <c r="B156" s="1" t="n">
        <v>2024</v>
      </c>
      <c r="C156" s="1" t="s">
        <v>53</v>
      </c>
      <c r="D156" s="14" t="n">
        <f aca="false">SUMIF($C$44:$C$57, $C156, D$44:D$57)</f>
        <v>4947822</v>
      </c>
      <c r="E156" s="14" t="n">
        <f aca="false">SUMIF($C$44:$C$57, $C156, E$44:E$57)</f>
        <v>2611325</v>
      </c>
      <c r="F156" s="14" t="n">
        <f aca="false">SUMIF($C$44:$C$57, $C156, F$44:F$57)</f>
        <v>3113465</v>
      </c>
      <c r="G156" s="14" t="n">
        <f aca="false">SUMIF($C$44:$C$57, $C156, G$44:G$57)</f>
        <v>4327597</v>
      </c>
      <c r="H156" s="14" t="n">
        <f aca="false">SUMIF($C$44:$C$57, $C156, H$44:H$57)</f>
        <v>4575381</v>
      </c>
      <c r="I156" s="14" t="n">
        <f aca="false">SUMIF($C$44:$C$57, $C156, I$44:I$57)</f>
        <v>6693676</v>
      </c>
      <c r="J156" s="14" t="n">
        <f aca="false">SUMIF($C$44:$C$57, $C156, J$44:J$57)</f>
        <v>6234881</v>
      </c>
      <c r="K156" s="14" t="n">
        <f aca="false">SUMIF($C$44:$C$57, $C156, K$44:K$57)</f>
        <v>185814</v>
      </c>
      <c r="L156" s="14" t="n">
        <f aca="false">SUMIF($C$44:$C$57, $C156, L$44:L$57)</f>
        <v>171613</v>
      </c>
      <c r="M156" s="14"/>
      <c r="N156" s="14"/>
      <c r="O156" s="14" t="n">
        <f aca="false">SUMIF($C$44:$C$57, $C156, O$44:O$57)</f>
        <v>4528810</v>
      </c>
      <c r="P156" s="14" t="n">
        <f aca="false">SUMIF($C$44:$C$57, $C156, P$44:P$57)</f>
        <v>4520247</v>
      </c>
      <c r="Q156" s="14" t="n">
        <f aca="false">SUMIF($C$44:$C$57, $C156, Q$44:Q$57)</f>
        <v>6477555</v>
      </c>
      <c r="R156" s="14" t="n">
        <f aca="false">SUMIF($C$44:$C$57, $C156, R$44:R$57)</f>
        <v>1465364</v>
      </c>
      <c r="S156" s="14" t="n">
        <f aca="false">SUMIF($C$44:$C$57, $C156, S$44:S$57)</f>
        <v>3974680</v>
      </c>
      <c r="T156" s="14" t="n">
        <f aca="false">SUMIF($C$44:$C$57, $C156, T$44:T$57)</f>
        <v>3205026</v>
      </c>
      <c r="U156" s="14" t="n">
        <f aca="false">SUMIF($C$44:$C$57, $C156, U$44:U$57)</f>
        <v>2990214</v>
      </c>
      <c r="V156" s="14" t="n">
        <f aca="false">SUMIF($C$44:$C$57, $C156, V$44:V$57)</f>
        <v>1994525</v>
      </c>
      <c r="W156" s="14" t="n">
        <f aca="false">SUMIF($C$44:$C$57, $C156, W$44:W$57)</f>
        <v>2037171</v>
      </c>
      <c r="X156" s="14"/>
      <c r="Y156" s="14"/>
      <c r="Z156" s="14" t="n">
        <f aca="false">SUMIF($C$44:$C$57, $C156, Z$44:Z$57)</f>
        <v>0</v>
      </c>
      <c r="AA156" s="14" t="n">
        <f aca="false">SUMIF($C$44:$C$57, $C156, AA$44:AA$57)</f>
        <v>1314369</v>
      </c>
      <c r="AB156" s="14" t="n">
        <f aca="false">SUMIF($C$44:$C$57, $C156, AB$44:AB$57)</f>
        <v>1281726</v>
      </c>
      <c r="AC156" s="14" t="n">
        <f aca="false">SUMIF($C$44:$C$57, $C156, AC$44:AC$57)</f>
        <v>0</v>
      </c>
      <c r="AD156" s="14" t="n">
        <f aca="false">SUMIF($C$44:$C$57, $C156, AD$44:AD$57)</f>
        <v>5317846</v>
      </c>
      <c r="AE156" s="14" t="n">
        <f aca="false">SUMIF($C$44:$C$57, $C156, AE$44:AE$57)</f>
        <v>5685376</v>
      </c>
      <c r="AF156" s="14" t="n">
        <f aca="false">SUMIF($C$44:$C$57, $C156, AF$44:AF$57)</f>
        <v>3419572</v>
      </c>
      <c r="AG156" s="14" t="n">
        <f aca="false">SUMIF($C$44:$C$57, $C156, AG$44:AG$57)</f>
        <v>4941621</v>
      </c>
      <c r="AH156" s="14" t="n">
        <f aca="false">SUMIF($C$44:$C$57, $C156, AH$44:AH$57)</f>
        <v>7123799</v>
      </c>
      <c r="AI156" s="14" t="n">
        <f aca="false">SUMIF($C$44:$C$57, $C156, AI$44:AI$57)</f>
        <v>5318526</v>
      </c>
      <c r="AJ156" s="14"/>
      <c r="AK156" s="14"/>
      <c r="AL156" s="14" t="n">
        <f aca="false">SUMIF($C$44:$C$57, $C156, AL$44:AL$57)</f>
        <v>4048542</v>
      </c>
      <c r="AM156" s="14" t="n">
        <f aca="false">SUMIF($C$44:$C$57, $C156, AM$44:AM$57)</f>
        <v>1970355</v>
      </c>
      <c r="AN156" s="14" t="n">
        <f aca="false">SUMIF($C$44:$C$57, $C156, AN$44:AN$57)</f>
        <v>4463092</v>
      </c>
      <c r="AO156" s="14" t="n">
        <f aca="false">SUMIF($C$44:$C$57, $C156, AO$44:AO$57)</f>
        <v>7826164</v>
      </c>
      <c r="AP156" s="14" t="n">
        <f aca="false">SUMIF($C$44:$C$57, $C156, AP$44:AP$57)</f>
        <v>4564183</v>
      </c>
      <c r="AQ156" s="14" t="n">
        <f aca="false">SUMIF($C$44:$C$57, $C156, AQ$44:AQ$57)</f>
        <v>4008806</v>
      </c>
      <c r="AR156" s="14" t="n">
        <f aca="false">SUMIF($C$44:$C$57, $C156, AR$44:AR$57)</f>
        <v>4426049</v>
      </c>
      <c r="AS156" s="14" t="n">
        <f aca="false">SUMIF($C$44:$C$57, $C156, AS$44:AS$57)</f>
        <v>969121</v>
      </c>
      <c r="AT156" s="14"/>
      <c r="AU156" s="14"/>
      <c r="AV156" s="14"/>
      <c r="AW156" s="14"/>
      <c r="AX156" s="16"/>
      <c r="AY156" s="14" t="n">
        <f aca="false">SUMIF($C$44:$C$57, $C156, AY$44:AY$57)</f>
        <v>32276312</v>
      </c>
      <c r="AZ156" s="14" t="n">
        <f aca="false">SUMIF($C$44:$C$57, $C156, AZ$44:AZ$57)</f>
        <v>32861574</v>
      </c>
      <c r="BA156" s="14" t="n">
        <f aca="false">SUMIF($C$44:$C$57, $C156, BA$44:BA$57)</f>
        <v>31193592</v>
      </c>
      <c r="BB156" s="14" t="n">
        <f aca="false">SUMIF($C$44:$C$57, $C156, BB$44:BB$57)</f>
        <v>2596095</v>
      </c>
      <c r="BC156" s="14" t="n">
        <f aca="false">SUMIF($C$44:$C$57, $C156, BC$44:BC$57)</f>
        <v>31806740</v>
      </c>
      <c r="BD156" s="14"/>
      <c r="BE156" s="14" t="n">
        <f aca="false">SUMIF($C$44:$C$57, $C156, BE$44:BE$57)</f>
        <v>130734313</v>
      </c>
    </row>
    <row r="157" customFormat="false" ht="12.75" hidden="false" customHeight="true" outlineLevel="0" collapsed="false">
      <c r="A157" s="1" t="s">
        <v>78</v>
      </c>
      <c r="B157" s="1" t="n">
        <v>2024</v>
      </c>
      <c r="C157" s="1" t="s">
        <v>53</v>
      </c>
      <c r="D157" s="14" t="n">
        <f aca="false">D45+D47</f>
        <v>1547303</v>
      </c>
      <c r="E157" s="14" t="n">
        <f aca="false">E45+E47</f>
        <v>569839</v>
      </c>
      <c r="F157" s="14" t="n">
        <f aca="false">F45+F47</f>
        <v>912911</v>
      </c>
      <c r="G157" s="14" t="n">
        <f aca="false">G45+G47</f>
        <v>1419266</v>
      </c>
      <c r="H157" s="14" t="n">
        <f aca="false">H45+H47</f>
        <v>1992772</v>
      </c>
      <c r="I157" s="14" t="n">
        <f aca="false">I45+I47</f>
        <v>2610122</v>
      </c>
      <c r="J157" s="14" t="n">
        <f aca="false">J45+J47</f>
        <v>2161233</v>
      </c>
      <c r="K157" s="14" t="n">
        <f aca="false">K45+K47</f>
        <v>613</v>
      </c>
      <c r="L157" s="14" t="n">
        <f aca="false">L45+L47</f>
        <v>0</v>
      </c>
      <c r="M157" s="14"/>
      <c r="N157" s="14"/>
      <c r="O157" s="14" t="n">
        <f aca="false">O45+O47</f>
        <v>1557455</v>
      </c>
      <c r="P157" s="14" t="n">
        <f aca="false">P45+P47</f>
        <v>1027069</v>
      </c>
      <c r="Q157" s="14" t="n">
        <f aca="false">Q45+Q47</f>
        <v>2238540</v>
      </c>
      <c r="R157" s="14" t="n">
        <f aca="false">R45+R47</f>
        <v>0</v>
      </c>
      <c r="S157" s="14" t="n">
        <f aca="false">S45+S47</f>
        <v>973365</v>
      </c>
      <c r="T157" s="14" t="n">
        <f aca="false">T45+T47</f>
        <v>774840</v>
      </c>
      <c r="U157" s="14" t="n">
        <f aca="false">U45+U47</f>
        <v>820885</v>
      </c>
      <c r="V157" s="14" t="n">
        <f aca="false">V45+V47</f>
        <v>261385</v>
      </c>
      <c r="W157" s="14" t="n">
        <f aca="false">W45+W47</f>
        <v>227084</v>
      </c>
      <c r="X157" s="14"/>
      <c r="Y157" s="14"/>
      <c r="Z157" s="14" t="n">
        <f aca="false">Z45+Z47</f>
        <v>0</v>
      </c>
      <c r="AA157" s="14" t="n">
        <f aca="false">AA45+AA47</f>
        <v>514561</v>
      </c>
      <c r="AB157" s="14" t="n">
        <f aca="false">AB45+AB47</f>
        <v>60546</v>
      </c>
      <c r="AC157" s="14" t="n">
        <f aca="false">AC45+AC47</f>
        <v>0</v>
      </c>
      <c r="AD157" s="14" t="n">
        <f aca="false">AD45+AD47</f>
        <v>2468193</v>
      </c>
      <c r="AE157" s="14" t="n">
        <f aca="false">AE45+AE47</f>
        <v>2133495</v>
      </c>
      <c r="AF157" s="14" t="n">
        <f aca="false">AF45+AF47</f>
        <v>1633837</v>
      </c>
      <c r="AG157" s="14" t="n">
        <f aca="false">AG45+AG47</f>
        <v>1833504</v>
      </c>
      <c r="AH157" s="14" t="n">
        <f aca="false">AH45+AH47</f>
        <v>3313505</v>
      </c>
      <c r="AI157" s="14" t="n">
        <f aca="false">AI45+AI47</f>
        <v>2123967</v>
      </c>
      <c r="AJ157" s="14"/>
      <c r="AK157" s="14"/>
      <c r="AL157" s="14" t="n">
        <f aca="false">AL45+AL47</f>
        <v>1423016</v>
      </c>
      <c r="AM157" s="14" t="n">
        <f aca="false">AM45+AM47</f>
        <v>77024</v>
      </c>
      <c r="AN157" s="14" t="n">
        <f aca="false">AN45+AN47</f>
        <v>1755926</v>
      </c>
      <c r="AO157" s="14" t="n">
        <f aca="false">AO45+AO47</f>
        <v>2977684</v>
      </c>
      <c r="AP157" s="14" t="n">
        <f aca="false">AP45+AP47</f>
        <v>1492908</v>
      </c>
      <c r="AQ157" s="14" t="n">
        <f aca="false">AQ45+AQ47</f>
        <v>756144</v>
      </c>
      <c r="AR157" s="14" t="n">
        <f aca="false">AR45+AR47</f>
        <v>1634309</v>
      </c>
      <c r="AS157" s="14" t="n">
        <f aca="false">AS45+AS47</f>
        <v>0</v>
      </c>
      <c r="AT157" s="14"/>
      <c r="AU157" s="14"/>
      <c r="AV157" s="14"/>
      <c r="AW157" s="14"/>
      <c r="AX157" s="14"/>
      <c r="AY157" s="14" t="n">
        <f aca="false">AY45+AY47</f>
        <v>10117011</v>
      </c>
      <c r="AZ157" s="14" t="n">
        <f aca="false">AZ45+AZ47</f>
        <v>11214059</v>
      </c>
      <c r="BA157" s="14" t="n">
        <f aca="false">BA45+BA47</f>
        <v>7880623</v>
      </c>
      <c r="BB157" s="14" t="n">
        <f aca="false">BB45+BB47</f>
        <v>575107</v>
      </c>
      <c r="BC157" s="14" t="n">
        <f aca="false">BC45+BC47</f>
        <v>13506501</v>
      </c>
      <c r="BD157" s="14"/>
      <c r="BE157" s="14" t="n">
        <f aca="false">BE45+BE47</f>
        <v>43293301</v>
      </c>
    </row>
    <row r="158" customFormat="false" ht="12.75" hidden="false" customHeight="true" outlineLevel="0" collapsed="false">
      <c r="A158" s="1" t="s">
        <v>79</v>
      </c>
      <c r="B158" s="1" t="n">
        <v>2024</v>
      </c>
      <c r="C158" s="1" t="s">
        <v>53</v>
      </c>
      <c r="D158" s="14" t="n">
        <f aca="false">D51+D53+D55</f>
        <v>205454</v>
      </c>
      <c r="E158" s="14" t="n">
        <f aca="false">E51+E53+E55</f>
        <v>323500</v>
      </c>
      <c r="F158" s="14" t="n">
        <f aca="false">F51+F53+F55</f>
        <v>222751</v>
      </c>
      <c r="G158" s="14" t="n">
        <f aca="false">G51+G53+G55</f>
        <v>368577</v>
      </c>
      <c r="H158" s="14" t="n">
        <f aca="false">H51+H53+H55</f>
        <v>149253</v>
      </c>
      <c r="I158" s="14" t="n">
        <f aca="false">I51+I53+I55</f>
        <v>240183</v>
      </c>
      <c r="J158" s="14" t="n">
        <f aca="false">J51+J53+J55</f>
        <v>431369</v>
      </c>
      <c r="K158" s="14" t="n">
        <f aca="false">K51+K53+K55</f>
        <v>0</v>
      </c>
      <c r="L158" s="14" t="n">
        <f aca="false">L51+L53+L55</f>
        <v>0</v>
      </c>
      <c r="M158" s="14"/>
      <c r="N158" s="14"/>
      <c r="O158" s="14" t="n">
        <f aca="false">O51+O53+O55</f>
        <v>473953</v>
      </c>
      <c r="P158" s="14" t="n">
        <f aca="false">P51+P53+P55</f>
        <v>561333</v>
      </c>
      <c r="Q158" s="14" t="n">
        <f aca="false">Q51+Q53+Q55</f>
        <v>542455</v>
      </c>
      <c r="R158" s="14" t="n">
        <f aca="false">R51+R53+R55</f>
        <v>503731</v>
      </c>
      <c r="S158" s="14" t="n">
        <f aca="false">S51+S53+S55</f>
        <v>636609</v>
      </c>
      <c r="T158" s="14" t="n">
        <f aca="false">T51+T53+T55</f>
        <v>206718</v>
      </c>
      <c r="U158" s="14" t="n">
        <f aca="false">U51+U53+U55</f>
        <v>194628</v>
      </c>
      <c r="V158" s="14" t="n">
        <f aca="false">V51+V53+V55</f>
        <v>62927</v>
      </c>
      <c r="W158" s="14" t="n">
        <f aca="false">W51+W53+W55</f>
        <v>402578</v>
      </c>
      <c r="X158" s="14"/>
      <c r="Y158" s="14"/>
      <c r="Z158" s="14" t="n">
        <f aca="false">Z51+Z53+Z55</f>
        <v>0</v>
      </c>
      <c r="AA158" s="14" t="n">
        <f aca="false">AA51+AA53+AA55</f>
        <v>122738</v>
      </c>
      <c r="AB158" s="14" t="n">
        <f aca="false">AB51+AB53+AB55</f>
        <v>282095</v>
      </c>
      <c r="AC158" s="14" t="n">
        <f aca="false">AC51+AC53+AC55</f>
        <v>0</v>
      </c>
      <c r="AD158" s="14" t="n">
        <f aca="false">AD51+AD53+AD55</f>
        <v>0</v>
      </c>
      <c r="AE158" s="14" t="n">
        <f aca="false">AE51+AE53+AE55</f>
        <v>139720</v>
      </c>
      <c r="AF158" s="14" t="n">
        <f aca="false">AF51+AF53+AF55</f>
        <v>132723</v>
      </c>
      <c r="AG158" s="14" t="n">
        <f aca="false">AG51+AG53+AG55</f>
        <v>97195</v>
      </c>
      <c r="AH158" s="14" t="n">
        <f aca="false">AH51+AH53+AH55</f>
        <v>220601</v>
      </c>
      <c r="AI158" s="14" t="n">
        <f aca="false">AI51+AI53+AI55</f>
        <v>115521</v>
      </c>
      <c r="AJ158" s="14"/>
      <c r="AK158" s="14"/>
      <c r="AL158" s="14" t="n">
        <f aca="false">AL51+AL53+AL55</f>
        <v>233503</v>
      </c>
      <c r="AM158" s="14" t="n">
        <f aca="false">AM51+AM53+AM55</f>
        <v>363412</v>
      </c>
      <c r="AN158" s="14" t="n">
        <f aca="false">AN51+AN53+AN55</f>
        <v>170386</v>
      </c>
      <c r="AO158" s="14" t="n">
        <f aca="false">AO51+AO53+AO55</f>
        <v>521796</v>
      </c>
      <c r="AP158" s="14" t="n">
        <f aca="false">AP51+AP53+AP55</f>
        <v>316725</v>
      </c>
      <c r="AQ158" s="14" t="n">
        <f aca="false">AQ51+AQ53+AQ55</f>
        <v>520927</v>
      </c>
      <c r="AR158" s="14" t="n">
        <f aca="false">AR51+AR53+AR55</f>
        <v>335377</v>
      </c>
      <c r="AS158" s="14" t="n">
        <f aca="false">AS51+AS53+AS55</f>
        <v>98136</v>
      </c>
      <c r="AT158" s="14"/>
      <c r="AU158" s="14"/>
      <c r="AV158" s="14"/>
      <c r="AW158" s="14"/>
      <c r="AX158" s="14"/>
      <c r="AY158" s="14" t="n">
        <f aca="false">AY51+AY53+AY55</f>
        <v>2560262</v>
      </c>
      <c r="AZ158" s="14" t="n">
        <f aca="false">AZ51+AZ53+AZ55</f>
        <v>1941087</v>
      </c>
      <c r="BA158" s="14" t="n">
        <f aca="false">BA51+BA53+BA55</f>
        <v>3584932</v>
      </c>
      <c r="BB158" s="14" t="n">
        <f aca="false">BB51+BB53+BB55</f>
        <v>404833</v>
      </c>
      <c r="BC158" s="14" t="n">
        <f aca="false">BC51+BC53+BC55</f>
        <v>705760</v>
      </c>
      <c r="BD158" s="14"/>
      <c r="BE158" s="14" t="n">
        <f aca="false">BE51+BE53+BE55</f>
        <v>9196874</v>
      </c>
    </row>
    <row r="159" customFormat="false" ht="12.75" hidden="false" customHeight="true" outlineLevel="0" collapsed="false"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6"/>
      <c r="AY159" s="18"/>
      <c r="AZ159" s="18"/>
      <c r="BA159" s="18"/>
      <c r="BB159" s="18"/>
      <c r="BC159" s="18"/>
      <c r="BD159" s="18"/>
      <c r="BE159" s="18"/>
    </row>
    <row r="160" customFormat="false" ht="12.75" hidden="false" customHeight="true" outlineLevel="0" collapsed="false">
      <c r="A160" s="1" t="s">
        <v>51</v>
      </c>
      <c r="B160" s="1" t="n">
        <v>2024</v>
      </c>
      <c r="C160" s="1" t="s">
        <v>80</v>
      </c>
      <c r="D160" s="16" t="n">
        <f aca="false">SUMIFS(D$44:D$57, $A$44:$A$57,$A160, $C$44:$C$57, "$ Actual")/SUMIFS(D$44:D$57, $A$44:$A$57,$A160, $C$44:$C$57, "$ Budgeted")</f>
        <v>1.39935329121</v>
      </c>
      <c r="E160" s="16" t="n">
        <f aca="false">SUMIFS(E$44:E$57, $A$44:$A$57,$A160, $C$44:$C$57, "$ Actual")/SUMIFS(E$44:E$57, $A$44:$A$57,$A160, $C$44:$C$57, "$ Budgeted")</f>
        <v>1.39954563316632</v>
      </c>
      <c r="F160" s="16" t="n">
        <f aca="false">SUMIFS(F$44:F$57, $A$44:$A$57,$A160, $C$44:$C$57, "$ Actual")/SUMIFS(F$44:F$57, $A$44:$A$57,$A160, $C$44:$C$57, "$ Budgeted")</f>
        <v>1.37974285614967</v>
      </c>
      <c r="G160" s="16" t="n">
        <f aca="false">SUMIFS(G$44:G$57, $A$44:$A$57,$A160, $C$44:$C$57, "$ Actual")/SUMIFS(G$44:G$57, $A$44:$A$57,$A160, $C$44:$C$57, "$ Budgeted")</f>
        <v>0.446059849528705</v>
      </c>
      <c r="H160" s="16" t="n">
        <f aca="false">SUMIFS(H$44:H$57, $A$44:$A$57,$A160, $C$44:$C$57, "$ Actual")/SUMIFS(H$44:H$57, $A$44:$A$57,$A160, $C$44:$C$57, "$ Budgeted")</f>
        <v>0.813507394767671</v>
      </c>
      <c r="I160" s="16" t="n">
        <f aca="false">SUMIFS(I$44:I$57, $A$44:$A$57,$A160, $C$44:$C$57, "$ Actual")/SUMIFS(I$44:I$57, $A$44:$A$57,$A160, $C$44:$C$57, "$ Budgeted")</f>
        <v>1.29144521170999</v>
      </c>
      <c r="J160" s="16" t="n">
        <f aca="false">SUMIFS(J$44:J$57, $A$44:$A$57,$A160, $C$44:$C$57, "$ Actual")/SUMIFS(J$44:J$57, $A$44:$A$57,$A160, $C$44:$C$57, "$ Budgeted")</f>
        <v>1.37053183602176</v>
      </c>
      <c r="K160" s="16" t="n">
        <f aca="false">SUMIFS(K$44:K$57, $A$44:$A$57,$A160, $C$44:$C$57, "$ Actual")/SUMIFS(K$44:K$57, $A$44:$A$57,$A160, $C$44:$C$57, "$ Budgeted")</f>
        <v>0.00136020005813579</v>
      </c>
      <c r="L160" s="16" t="n">
        <f aca="false">SUMIFS(L$44:L$57, $A$44:$A$57,$A160, $C$44:$C$57, "$ Actual")/SUMIFS(L$44:L$57, $A$44:$A$57,$A160, $C$44:$C$57, "$ Budgeted")</f>
        <v>0</v>
      </c>
      <c r="M160" s="16" t="e">
        <f aca="false">SUMIFS(M$44:M$57, $A$44:$A$57,$A160, $C$44:$C$57, "$ Actual")/SUMIFS(M$44:M$57, $A$44:$A$57,$A160, $C$44:$C$57, "$ Budgeted")</f>
        <v>#DIV/0!</v>
      </c>
      <c r="N160" s="16"/>
      <c r="O160" s="16" t="n">
        <f aca="false">SUMIFS(O$44:O$57, $A$44:$A$57,$A160, $C$44:$C$57, "$ Actual")/SUMIFS(O$44:O$57, $A$44:$A$57,$A160, $C$44:$C$57, "$ Budgeted")</f>
        <v>0.888093940537242</v>
      </c>
      <c r="P160" s="16" t="n">
        <f aca="false">SUMIFS(P$44:P$57, $A$44:$A$57,$A160, $C$44:$C$57, "$ Actual")/SUMIFS(P$44:P$57, $A$44:$A$57,$A160, $C$44:$C$57, "$ Budgeted")</f>
        <v>0.941265563135048</v>
      </c>
      <c r="Q160" s="16" t="n">
        <f aca="false">SUMIFS(Q$44:Q$57, $A$44:$A$57,$A160, $C$44:$C$57, "$ Actual")/SUMIFS(Q$44:Q$57, $A$44:$A$57,$A160, $C$44:$C$57, "$ Budgeted")</f>
        <v>1.18478726942927</v>
      </c>
      <c r="R160" s="16" t="e">
        <f aca="false">SUMIFS(R$44:R$57, $A$44:$A$57,$A160, $C$44:$C$57, "$ Actual")/SUMIFS(R$44:R$57, $A$44:$A$57,$A160, $C$44:$C$57, "$ Budgeted")</f>
        <v>#DIV/0!</v>
      </c>
      <c r="S160" s="16" t="n">
        <f aca="false">SUMIFS(S$44:S$57, $A$44:$A$57,$A160, $C$44:$C$57, "$ Actual")/SUMIFS(S$44:S$57, $A$44:$A$57,$A160, $C$44:$C$57, "$ Budgeted")</f>
        <v>1.51528102875307</v>
      </c>
      <c r="T160" s="16" t="n">
        <f aca="false">SUMIFS(T$44:T$57, $A$44:$A$57,$A160, $C$44:$C$57, "$ Actual")/SUMIFS(T$44:T$57, $A$44:$A$57,$A160, $C$44:$C$57, "$ Budgeted")</f>
        <v>0.52673732618648</v>
      </c>
      <c r="U160" s="16" t="n">
        <f aca="false">SUMIFS(U$44:U$57, $A$44:$A$57,$A160, $C$44:$C$57, "$ Actual")/SUMIFS(U$44:U$57, $A$44:$A$57,$A160, $C$44:$C$57, "$ Budgeted")</f>
        <v>0.416876463304277</v>
      </c>
      <c r="V160" s="16" t="n">
        <f aca="false">SUMIFS(V$44:V$57, $A$44:$A$57,$A160, $C$44:$C$57, "$ Actual")/SUMIFS(V$44:V$57, $A$44:$A$57,$A160, $C$44:$C$57, "$ Budgeted")</f>
        <v>0.238410130914192</v>
      </c>
      <c r="W160" s="16" t="n">
        <f aca="false">SUMIFS(W$44:W$57, $A$44:$A$57,$A160, $C$44:$C$57, "$ Actual")/SUMIFS(W$44:W$57, $A$44:$A$57,$A160, $C$44:$C$57, "$ Budgeted")</f>
        <v>0.0814009249203812</v>
      </c>
      <c r="X160" s="16" t="e">
        <f aca="false">SUMIFS(X$44:X$57, $A$44:$A$57,$A160, $C$44:$C$57, "$ Actual")/SUMIFS(X$44:X$57, $A$44:$A$57,$A160, $C$44:$C$57, "$ Budgeted")</f>
        <v>#DIV/0!</v>
      </c>
      <c r="Y160" s="16"/>
      <c r="Z160" s="16" t="e">
        <f aca="false">SUMIFS(Z$44:Z$57, $A$44:$A$57,$A160, $C$44:$C$57, "Actual")/SUMIFS(Z$44:Z$57, $A$44:$A$57,$A160, $C$44:$C$57, "Budgeted")</f>
        <v>#DIV/0!</v>
      </c>
      <c r="AA160" s="16" t="n">
        <f aca="false">SUMIFS(AA$44:AA$57, $A$44:$A$57,$A160, $C$44:$C$57, "$ Actual")/SUMIFS(AA$44:AA$57, $A$44:$A$57,$A160, $C$44:$C$57, "$ Budgeted")</f>
        <v>1.1758391431747</v>
      </c>
      <c r="AB160" s="16" t="e">
        <f aca="false">SUMIFS(AB$44:AB$57, $A$44:$A$57,$A160, $C$44:$C$57, "$ Actual")/SUMIFS(AB$44:AB$57, $A$44:$A$57,$A160, $C$44:$C$57, "$ Budgeted")</f>
        <v>#DIV/0!</v>
      </c>
      <c r="AC160" s="16" t="e">
        <f aca="false">SUMIFS(AC$44:AC$57, $A$44:$A$57,$A160, $C$44:$C$57, "Actual")/SUMIFS(AC$44:AC$57, $A$44:$A$57,$A160, $C$44:$C$57, "Budgeted")</f>
        <v>#DIV/0!</v>
      </c>
      <c r="AD160" s="16" t="n">
        <f aca="false">SUMIFS(AD$44:AD$57, $A$44:$A$57,$A160, $C$44:$C$57, "$ Actual")/SUMIFS(AD$44:AD$57, $A$44:$A$57,$A160, $C$44:$C$57, "$ Budgeted")</f>
        <v>2.21795133272382</v>
      </c>
      <c r="AE160" s="16" t="n">
        <f aca="false">SUMIFS(AE$44:AE$57, $A$44:$A$57,$A160, $C$44:$C$57, "$ Actual")/SUMIFS(AE$44:AE$57, $A$44:$A$57,$A160, $C$44:$C$57, "$ Budgeted")</f>
        <v>1.341224526319</v>
      </c>
      <c r="AF160" s="16" t="n">
        <f aca="false">SUMIFS(AF$44:AF$57, $A$44:$A$57,$A160, $C$44:$C$57, "$ Actual")/SUMIFS(AF$44:AF$57, $A$44:$A$57,$A160, $C$44:$C$57, "$ Budgeted")</f>
        <v>1.5136105040065</v>
      </c>
      <c r="AG160" s="16" t="n">
        <f aca="false">SUMIFS(AG$44:AG$57, $A$44:$A$57,$A160, $C$44:$C$57, "$ Actual")/SUMIFS(AG$44:AG$57, $A$44:$A$57,$A160, $C$44:$C$57, "$ Budgeted")</f>
        <v>0.818648229468373</v>
      </c>
      <c r="AH160" s="16" t="n">
        <f aca="false">SUMIFS(AH$44:AH$57, $A$44:$A$57,$A160, $C$44:$C$57, "$ Actual")/SUMIFS(AH$44:AH$57, $A$44:$A$57,$A160, $C$44:$C$57, "$ Budgeted")</f>
        <v>0.94404191087829</v>
      </c>
      <c r="AI160" s="16" t="n">
        <f aca="false">SUMIFS(AI$44:AI$57, $A$44:$A$57,$A160, $C$44:$C$57, "$ Actual")/SUMIFS(AI$44:AI$57, $A$44:$A$57,$A160, $C$44:$C$57, "$ Budgeted")</f>
        <v>1.10125185759262</v>
      </c>
      <c r="AJ160" s="16" t="e">
        <f aca="false">SUMIFS(AJ$44:AJ$57, $A$44:$A$57,$A160, $C$44:$C$57, "$ Actual")/SUMIFS(AJ$44:AJ$57, $A$44:$A$57,$A160, $C$44:$C$57, "$ Budgeted")</f>
        <v>#DIV/0!</v>
      </c>
      <c r="AK160" s="16"/>
      <c r="AL160" s="16" t="n">
        <f aca="false">SUMIFS(AL$44:AL$57, $A$44:$A$57,$A160, $C$44:$C$57, "$ Actual")/SUMIFS(AL$44:AL$57, $A$44:$A$57,$A160, $C$44:$C$57, "$ Budgeted")</f>
        <v>0.675033419301574</v>
      </c>
      <c r="AM160" s="16" t="n">
        <f aca="false">SUMIFS(AM$44:AM$57, $A$44:$A$57,$A160, $C$44:$C$57, "$ Actual")/SUMIFS(AM$44:AM$57, $A$44:$A$57,$A160, $C$44:$C$57, "$ Budgeted")</f>
        <v>0</v>
      </c>
      <c r="AN160" s="16" t="n">
        <f aca="false">SUMIFS(AN$44:AN$57, $A$44:$A$57,$A160, $C$44:$C$57, "$ Actual")/SUMIFS(AN$44:AN$57, $A$44:$A$57,$A160, $C$44:$C$57, "$ Budgeted")</f>
        <v>0.958489540233148</v>
      </c>
      <c r="AO160" s="16" t="n">
        <f aca="false">SUMIFS(AO$44:AO$57, $A$44:$A$57,$A160, $C$44:$C$57, "$ Actual")/SUMIFS(AO$44:AO$57, $A$44:$A$57,$A160, $C$44:$C$57, "$ Budgeted")</f>
        <v>0.933497982483613</v>
      </c>
      <c r="AP160" s="16" t="n">
        <f aca="false">SUMIFS(AP$44:AP$57, $A$44:$A$57,$A160, $C$44:$C$57, "$ Actual")/SUMIFS(AP$44:AP$57, $A$44:$A$57,$A160, $C$44:$C$57, "$ Budgeted")</f>
        <v>0.585374764653205</v>
      </c>
      <c r="AQ160" s="16" t="n">
        <f aca="false">SUMIFS(AQ$44:AQ$57, $A$44:$A$57,$A160, $C$44:$C$57, "$ Actual")/SUMIFS(AQ$44:AQ$57, $A$44:$A$57,$A160, $C$44:$C$57, "$ Budgeted")</f>
        <v>0.361176695929464</v>
      </c>
      <c r="AR160" s="16" t="n">
        <f aca="false">SUMIFS(AR$44:AR$57, $A$44:$A$57,$A160, $C$44:$C$57, "$ Actual")/SUMIFS(AR$44:AR$57, $A$44:$A$57,$A160, $C$44:$C$57, "$ Budgeted")</f>
        <v>0.664533876587864</v>
      </c>
      <c r="AS160" s="16" t="e">
        <f aca="false">SUMIFS(AS$44:AS$57, $A$44:$A$57,$A160, $C$44:$C$57, "$ Actual")/SUMIFS(AS$44:AS$57, $A$44:$A$57,$A160, $C$44:$C$57, "$ Budgeted")</f>
        <v>#DIV/0!</v>
      </c>
      <c r="AT160" s="16" t="e">
        <f aca="false">SUMIFS(AT$44:AT$57, $A$44:$A$57,$A160, $C$44:$C$57, "$ Actual")/SUMIFS(AT$44:AT$57, $A$44:$A$57,$A160, $C$44:$C$57, "$ Budgeted")</f>
        <v>#DIV/0!</v>
      </c>
      <c r="AU160" s="16" t="e">
        <f aca="false">SUMIFS(AU$44:AU$57, $A$44:$A$57,$A160, $C$44:$C$57, "$ Actual")/SUMIFS(AU$44:AU$57, $A$44:$A$57,$A160, $C$44:$C$57, "$ Budgeted")</f>
        <v>#DIV/0!</v>
      </c>
      <c r="AV160" s="16"/>
      <c r="AW160" s="16"/>
      <c r="AX160" s="16"/>
      <c r="AY160" s="16" t="n">
        <f aca="false">SUMIFS(AY$44:AY$57, $A$44:$A$57,$A160, $C$44:$C$57, "$ Actual")/SUMIFS(AY$44:AY$57, $A$44:$A$57,$A160, $C$44:$C$57, "$ Budgeted")</f>
        <v>0.682529361471191</v>
      </c>
      <c r="AZ160" s="16" t="n">
        <f aca="false">SUMIFS(AZ$44:AZ$57, $A$44:$A$57,$A160, $C$44:$C$57, "$ Actual")/SUMIFS(AZ$44:AZ$57, $A$44:$A$57,$A160, $C$44:$C$57, "$ Budgeted")</f>
        <v>0.969217689055567</v>
      </c>
      <c r="BA160" s="16" t="n">
        <f aca="false">SUMIFS(BA$44:BA$57, $A$44:$A$57,$A160, $C$44:$C$57, "$ Actual")/SUMIFS(BA$44:BA$57, $A$44:$A$57,$A160, $C$44:$C$57, "$ Budgeted")</f>
        <v>0.640742589043794</v>
      </c>
      <c r="BB160" s="16" t="n">
        <f aca="false">SUMIFS(BB$44:BB$57, $A$44:$A$57,$A160, $C$44:$C$57, "$ Actual")/SUMIFS(BB$44:BB$57, $A$44:$A$57,$A160, $C$44:$C$57, "$ Budgeted")</f>
        <v>1.1758391431747</v>
      </c>
      <c r="BC160" s="16" t="n">
        <f aca="false">SUMIFS(BC$44:BC$57, $A$44:$A$57,$A160, $C$44:$C$57, "$ Actual")/SUMIFS(BC$44:BC$57, $A$44:$A$57,$A160, $C$44:$C$57, "$ Budgeted")</f>
        <v>1.19842605467058</v>
      </c>
      <c r="BD160" s="16"/>
      <c r="BE160" s="16" t="n">
        <f aca="false">SUMIFS(BE$44:BE$57, $A$44:$A$57,$A160, $C$44:$C$57, "$ Actual")/SUMIFS(BE$44:BE$57, $A$44:$A$57,$A160, $C$44:$C$57, "$ Budgeted")</f>
        <v>0.839985383076663</v>
      </c>
    </row>
    <row r="161" customFormat="false" ht="12.75" hidden="false" customHeight="true" outlineLevel="0" collapsed="false">
      <c r="A161" s="1" t="s">
        <v>54</v>
      </c>
      <c r="B161" s="1" t="n">
        <v>2024</v>
      </c>
      <c r="C161" s="1" t="s">
        <v>80</v>
      </c>
      <c r="D161" s="16" t="n">
        <f aca="false">SUMIFS(D$44:D$57, $A$44:$A$57,$A161, $C$44:$C$57, "$ Actual")/SUMIFS(D$44:D$57, $A$44:$A$57,$A161, $C$44:$C$57, "$ Budgeted")</f>
        <v>2.10017235957935</v>
      </c>
      <c r="E161" s="16" t="e">
        <f aca="false">SUMIFS(E$44:E$57, $A$44:$A$57,$A161, $C$44:$C$57, "$ Actual")/SUMIFS(E$44:E$57, $A$44:$A$57,$A161, $C$44:$C$57, "$ Budgeted")</f>
        <v>#DIV/0!</v>
      </c>
      <c r="F161" s="16" t="e">
        <f aca="false">SUMIFS(F$44:F$57, $A$44:$A$57,$A161, $C$44:$C$57, "$ Actual")/SUMIFS(F$44:F$57, $A$44:$A$57,$A161, $C$44:$C$57, "$ Budgeted")</f>
        <v>#DIV/0!</v>
      </c>
      <c r="G161" s="16" t="n">
        <f aca="false">SUMIFS(G$44:G$57, $A$44:$A$57,$A161, $C$44:$C$57, "$ Actual")/SUMIFS(G$44:G$57, $A$44:$A$57,$A161, $C$44:$C$57, "$ Budgeted")</f>
        <v>1.21152908828583</v>
      </c>
      <c r="H161" s="16" t="n">
        <f aca="false">SUMIFS(H$44:H$57, $A$44:$A$57,$A161, $C$44:$C$57, "$ Actual")/SUMIFS(H$44:H$57, $A$44:$A$57,$A161, $C$44:$C$57, "$ Budgeted")</f>
        <v>1.43428639353833</v>
      </c>
      <c r="I161" s="16" t="n">
        <f aca="false">SUMIFS(I$44:I$57, $A$44:$A$57,$A161, $C$44:$C$57, "$ Actual")/SUMIFS(I$44:I$57, $A$44:$A$57,$A161, $C$44:$C$57, "$ Budgeted")</f>
        <v>0.961025242718447</v>
      </c>
      <c r="J161" s="16" t="n">
        <f aca="false">SUMIFS(J$44:J$57, $A$44:$A$57,$A161, $C$44:$C$57, "$ Actual")/SUMIFS(J$44:J$57, $A$44:$A$57,$A161, $C$44:$C$57, "$ Budgeted")</f>
        <v>0.99026395173454</v>
      </c>
      <c r="K161" s="16" t="e">
        <f aca="false">SUMIFS(K$44:K$57, $A$44:$A$57,$A161, $C$44:$C$57, "$ Actual")/SUMIFS(K$44:K$57, $A$44:$A$57,$A161, $C$44:$C$57, "$ Budgeted")</f>
        <v>#DIV/0!</v>
      </c>
      <c r="L161" s="16" t="n">
        <f aca="false">SUMIFS(L$44:L$57, $A$44:$A$57,$A161, $C$44:$C$57, "$ Actual")/SUMIFS(L$44:L$57, $A$44:$A$57,$A161, $C$44:$C$57, "$ Budgeted")</f>
        <v>0</v>
      </c>
      <c r="M161" s="16" t="e">
        <f aca="false">SUMIFS(M$44:M$57, $A$44:$A$57,$A161, $C$44:$C$57, "$ Actual")/SUMIFS(M$44:M$57, $A$44:$A$57,$A161, $C$44:$C$57, "$ Budgeted")</f>
        <v>#DIV/0!</v>
      </c>
      <c r="N161" s="16"/>
      <c r="O161" s="16" t="n">
        <f aca="false">SUMIFS(O$44:O$57, $A$44:$A$57,$A161, $C$44:$C$57, "$ Actual")/SUMIFS(O$44:O$57, $A$44:$A$57,$A161, $C$44:$C$57, "$ Budgeted")</f>
        <v>0.100446875</v>
      </c>
      <c r="P161" s="16" t="n">
        <f aca="false">SUMIFS(P$44:P$57, $A$44:$A$57,$A161, $C$44:$C$57, "$ Actual")/SUMIFS(P$44:P$57, $A$44:$A$57,$A161, $C$44:$C$57, "$ Budgeted")</f>
        <v>0.671420284934143</v>
      </c>
      <c r="Q161" s="16" t="n">
        <f aca="false">SUMIFS(Q$44:Q$57, $A$44:$A$57,$A161, $C$44:$C$57, "$ Actual")/SUMIFS(Q$44:Q$57, $A$44:$A$57,$A161, $C$44:$C$57, "$ Budgeted")</f>
        <v>1.02806005505956</v>
      </c>
      <c r="R161" s="16" t="e">
        <f aca="false">SUMIFS(R$44:R$57, $A$44:$A$57,$A161, $C$44:$C$57, "$ Actual")/SUMIFS(R$44:R$57, $A$44:$A$57,$A161, $C$44:$C$57, "$ Budgeted")</f>
        <v>#DIV/0!</v>
      </c>
      <c r="S161" s="16" t="n">
        <f aca="false">SUMIFS(S$44:S$57, $A$44:$A$57,$A161, $C$44:$C$57, "$ Actual")/SUMIFS(S$44:S$57, $A$44:$A$57,$A161, $C$44:$C$57, "$ Budgeted")</f>
        <v>0.936982470784641</v>
      </c>
      <c r="T161" s="16" t="n">
        <f aca="false">SUMIFS(T$44:T$57, $A$44:$A$57,$A161, $C$44:$C$57, "$ Actual")/SUMIFS(T$44:T$57, $A$44:$A$57,$A161, $C$44:$C$57, "$ Budgeted")</f>
        <v>0.511138355945644</v>
      </c>
      <c r="U161" s="16" t="n">
        <f aca="false">SUMIFS(U$44:U$57, $A$44:$A$57,$A161, $C$44:$C$57, "$ Actual")/SUMIFS(U$44:U$57, $A$44:$A$57,$A161, $C$44:$C$57, "$ Budgeted")</f>
        <v>0.689932829234261</v>
      </c>
      <c r="V161" s="16" t="n">
        <f aca="false">SUMIFS(V$44:V$57, $A$44:$A$57,$A161, $C$44:$C$57, "$ Actual")/SUMIFS(V$44:V$57, $A$44:$A$57,$A161, $C$44:$C$57, "$ Budgeted")</f>
        <v>0</v>
      </c>
      <c r="W161" s="16" t="n">
        <f aca="false">SUMIFS(W$44:W$57, $A$44:$A$57,$A161, $C$44:$C$57, "$ Actual")/SUMIFS(W$44:W$57, $A$44:$A$57,$A161, $C$44:$C$57, "$ Budgeted")</f>
        <v>0.106869993838571</v>
      </c>
      <c r="X161" s="16" t="e">
        <f aca="false">SUMIFS(X$44:X$57, $A$44:$A$57,$A161, $C$44:$C$57, "$ Actual")/SUMIFS(X$44:X$57, $A$44:$A$57,$A161, $C$44:$C$57, "$ Budgeted")</f>
        <v>#DIV/0!</v>
      </c>
      <c r="Y161" s="16"/>
      <c r="Z161" s="16" t="e">
        <f aca="false">SUMIFS(Z$44:Z$57, $A$44:$A$57,$A161, $C$44:$C$57, "Actual")/SUMIFS(Z$44:Z$57, $A$44:$A$57,$A161, $C$44:$C$57, "Budgeted")</f>
        <v>#DIV/0!</v>
      </c>
      <c r="AA161" s="16" t="n">
        <f aca="false">SUMIFS(AA$44:AA$57, $A$44:$A$57,$A161, $C$44:$C$57, "$ Actual")/SUMIFS(AA$44:AA$57, $A$44:$A$57,$A161, $C$44:$C$57, "$ Budgeted")</f>
        <v>1.89829803488816</v>
      </c>
      <c r="AB161" s="16" t="n">
        <f aca="false">SUMIFS(AB$44:AB$57, $A$44:$A$57,$A161, $C$44:$C$57, "$ Actual")/SUMIFS(AB$44:AB$57, $A$44:$A$57,$A161, $C$44:$C$57, "$ Budgeted")</f>
        <v>0.382109408527504</v>
      </c>
      <c r="AC161" s="16" t="e">
        <f aca="false">SUMIFS(AC$44:AC$57, $A$44:$A$57,$A161, $C$44:$C$57, "Actual")/SUMIFS(AC$44:AC$57, $A$44:$A$57,$A161, $C$44:$C$57, "Budgeted")</f>
        <v>#DIV/0!</v>
      </c>
      <c r="AD161" s="16" t="n">
        <f aca="false">SUMIFS(AD$44:AD$57, $A$44:$A$57,$A161, $C$44:$C$57, "$ Actual")/SUMIFS(AD$44:AD$57, $A$44:$A$57,$A161, $C$44:$C$57, "$ Budgeted")</f>
        <v>2.18864354031532</v>
      </c>
      <c r="AE161" s="16" t="n">
        <f aca="false">SUMIFS(AE$44:AE$57, $A$44:$A$57,$A161, $C$44:$C$57, "$ Actual")/SUMIFS(AE$44:AE$57, $A$44:$A$57,$A161, $C$44:$C$57, "$ Budgeted")</f>
        <v>3.24035778175313</v>
      </c>
      <c r="AF161" s="16" t="n">
        <f aca="false">SUMIFS(AF$44:AF$57, $A$44:$A$57,$A161, $C$44:$C$57, "$ Actual")/SUMIFS(AF$44:AF$57, $A$44:$A$57,$A161, $C$44:$C$57, "$ Budgeted")</f>
        <v>1.01261030433823</v>
      </c>
      <c r="AG161" s="16" t="n">
        <f aca="false">SUMIFS(AG$44:AG$57, $A$44:$A$57,$A161, $C$44:$C$57, "$ Actual")/SUMIFS(AG$44:AG$57, $A$44:$A$57,$A161, $C$44:$C$57, "$ Budgeted")</f>
        <v>1.1010514541387</v>
      </c>
      <c r="AH161" s="16" t="n">
        <f aca="false">SUMIFS(AH$44:AH$57, $A$44:$A$57,$A161, $C$44:$C$57, "$ Actual")/SUMIFS(AH$44:AH$57, $A$44:$A$57,$A161, $C$44:$C$57, "$ Budgeted")</f>
        <v>1.01379255197624</v>
      </c>
      <c r="AI161" s="16" t="n">
        <f aca="false">SUMIFS(AI$44:AI$57, $A$44:$A$57,$A161, $C$44:$C$57, "$ Actual")/SUMIFS(AI$44:AI$57, $A$44:$A$57,$A161, $C$44:$C$57, "$ Budgeted")</f>
        <v>1.04038543083154</v>
      </c>
      <c r="AJ161" s="16" t="e">
        <f aca="false">SUMIFS(AJ$44:AJ$57, $A$44:$A$57,$A161, $C$44:$C$57, "$ Actual")/SUMIFS(AJ$44:AJ$57, $A$44:$A$57,$A161, $C$44:$C$57, "$ Budgeted")</f>
        <v>#DIV/0!</v>
      </c>
      <c r="AK161" s="16"/>
      <c r="AL161" s="16" t="n">
        <f aca="false">SUMIFS(AL$44:AL$57, $A$44:$A$57,$A161, $C$44:$C$57, "$ Actual")/SUMIFS(AL$44:AL$57, $A$44:$A$57,$A161, $C$44:$C$57, "$ Budgeted")</f>
        <v>1.30159560723514</v>
      </c>
      <c r="AM161" s="16" t="n">
        <f aca="false">SUMIFS(AM$44:AM$57, $A$44:$A$57,$A161, $C$44:$C$57, "$ Actual")/SUMIFS(AM$44:AM$57, $A$44:$A$57,$A161, $C$44:$C$57, "$ Budgeted")</f>
        <v>0.2407</v>
      </c>
      <c r="AN161" s="16" t="n">
        <f aca="false">SUMIFS(AN$44:AN$57, $A$44:$A$57,$A161, $C$44:$C$57, "$ Actual")/SUMIFS(AN$44:AN$57, $A$44:$A$57,$A161, $C$44:$C$57, "$ Budgeted")</f>
        <v>0</v>
      </c>
      <c r="AO161" s="16" t="n">
        <f aca="false">SUMIFS(AO$44:AO$57, $A$44:$A$57,$A161, $C$44:$C$57, "$ Actual")/SUMIFS(AO$44:AO$57, $A$44:$A$57,$A161, $C$44:$C$57, "$ Budgeted")</f>
        <v>0</v>
      </c>
      <c r="AP161" s="16" t="n">
        <f aca="false">SUMIFS(AP$44:AP$57, $A$44:$A$57,$A161, $C$44:$C$57, "$ Actual")/SUMIFS(AP$44:AP$57, $A$44:$A$57,$A161, $C$44:$C$57, "$ Budgeted")</f>
        <v>0.280462809917355</v>
      </c>
      <c r="AQ161" s="16" t="n">
        <f aca="false">SUMIFS(AQ$44:AQ$57, $A$44:$A$57,$A161, $C$44:$C$57, "$ Actual")/SUMIFS(AQ$44:AQ$57, $A$44:$A$57,$A161, $C$44:$C$57, "$ Budgeted")</f>
        <v>0</v>
      </c>
      <c r="AR161" s="16" t="n">
        <f aca="false">SUMIFS(AR$44:AR$57, $A$44:$A$57,$A161, $C$44:$C$57, "$ Actual")/SUMIFS(AR$44:AR$57, $A$44:$A$57,$A161, $C$44:$C$57, "$ Budgeted")</f>
        <v>1.01182461765858</v>
      </c>
      <c r="AS161" s="16" t="e">
        <f aca="false">SUMIFS(AS$44:AS$57, $A$44:$A$57,$A161, $C$44:$C$57, "$ Actual")/SUMIFS(AS$44:AS$57, $A$44:$A$57,$A161, $C$44:$C$57, "$ Budgeted")</f>
        <v>#DIV/0!</v>
      </c>
      <c r="AT161" s="16" t="e">
        <f aca="false">SUMIFS(AT$44:AT$57, $A$44:$A$57,$A161, $C$44:$C$57, "$ Actual")/SUMIFS(AT$44:AT$57, $A$44:$A$57,$A161, $C$44:$C$57, "$ Budgeted")</f>
        <v>#DIV/0!</v>
      </c>
      <c r="AU161" s="16" t="e">
        <f aca="false">SUMIFS(AU$44:AU$57, $A$44:$A$57,$A161, $C$44:$C$57, "$ Actual")/SUMIFS(AU$44:AU$57, $A$44:$A$57,$A161, $C$44:$C$57, "$ Budgeted")</f>
        <v>#DIV/0!</v>
      </c>
      <c r="AV161" s="16"/>
      <c r="AW161" s="16"/>
      <c r="AX161" s="16"/>
      <c r="AY161" s="16" t="n">
        <f aca="false">SUMIFS(AY$44:AY$57, $A$44:$A$57,$A161, $C$44:$C$57, "$ Actual")/SUMIFS(AY$44:AY$57, $A$44:$A$57,$A161, $C$44:$C$57, "$ Budgeted")</f>
        <v>0.420279998077006</v>
      </c>
      <c r="AZ161" s="16" t="n">
        <f aca="false">SUMIFS(AZ$44:AZ$57, $A$44:$A$57,$A161, $C$44:$C$57, "$ Actual")/SUMIFS(AZ$44:AZ$57, $A$44:$A$57,$A161, $C$44:$C$57, "$ Budgeted")</f>
        <v>1.13699715312131</v>
      </c>
      <c r="BA161" s="16" t="n">
        <f aca="false">SUMIFS(BA$44:BA$57, $A$44:$A$57,$A161, $C$44:$C$57, "$ Actual")/SUMIFS(BA$44:BA$57, $A$44:$A$57,$A161, $C$44:$C$57, "$ Budgeted")</f>
        <v>0.48515670320916</v>
      </c>
      <c r="BB161" s="16" t="n">
        <f aca="false">SUMIFS(BB$44:BB$57, $A$44:$A$57,$A161, $C$44:$C$57, "$ Actual")/SUMIFS(BB$44:BB$57, $A$44:$A$57,$A161, $C$44:$C$57, "$ Budgeted")</f>
        <v>1.02866171716916</v>
      </c>
      <c r="BC161" s="16" t="n">
        <f aca="false">SUMIFS(BC$44:BC$57, $A$44:$A$57,$A161, $C$44:$C$57, "$ Actual")/SUMIFS(BC$44:BC$57, $A$44:$A$57,$A161, $C$44:$C$57, "$ Budgeted")</f>
        <v>1.30194154677843</v>
      </c>
      <c r="BD161" s="16"/>
      <c r="BE161" s="16" t="n">
        <f aca="false">SUMIFS(BE$44:BE$57, $A$44:$A$57,$A161, $C$44:$C$57, "$ Actual")/SUMIFS(BE$44:BE$57, $A$44:$A$57,$A161, $C$44:$C$57, "$ Budgeted")</f>
        <v>0.845204846681629</v>
      </c>
    </row>
    <row r="162" customFormat="false" ht="12.75" hidden="false" customHeight="true" outlineLevel="0" collapsed="false">
      <c r="A162" s="1" t="s">
        <v>78</v>
      </c>
      <c r="B162" s="1" t="n">
        <v>2024</v>
      </c>
      <c r="C162" s="1" t="s">
        <v>80</v>
      </c>
      <c r="D162" s="16" t="n">
        <f aca="false">(D45+D47)/(D44+D46)</f>
        <v>1.51738026124819</v>
      </c>
      <c r="E162" s="16" t="n">
        <f aca="false">(E45+E47)/(E44+E46)</f>
        <v>1.39954563316632</v>
      </c>
      <c r="F162" s="16" t="n">
        <f aca="false">(F45+F47)/(F44+F46)</f>
        <v>1.37974285614967</v>
      </c>
      <c r="G162" s="16" t="n">
        <f aca="false">(G45+G47)/(G44+G46)</f>
        <v>0.668826554270828</v>
      </c>
      <c r="H162" s="16" t="n">
        <f aca="false">(H45+H47)/(H44+H46)</f>
        <v>1.02590170500381</v>
      </c>
      <c r="I162" s="16" t="n">
        <f aca="false">(I45+I47)/(I44+I46)</f>
        <v>1.16773375841031</v>
      </c>
      <c r="J162" s="16" t="n">
        <f aca="false">(J45+J47)/(J44+J46)</f>
        <v>1.2535463533042</v>
      </c>
      <c r="K162" s="16" t="n">
        <f aca="false">(K45+K47)/(K44+K46)</f>
        <v>0.00136020005813579</v>
      </c>
      <c r="L162" s="16" t="n">
        <f aca="false">(L45+L47)/(L44+L46)</f>
        <v>0</v>
      </c>
      <c r="M162" s="16" t="e">
        <f aca="false">(M45+M47)/(M44+M46)</f>
        <v>#DIV/0!</v>
      </c>
      <c r="N162" s="16"/>
      <c r="O162" s="16" t="n">
        <f aca="false">(O45+O47)/(O44+O46)</f>
        <v>0.76439059009223</v>
      </c>
      <c r="P162" s="16" t="n">
        <f aca="false">(P45+P47)/(P44+P46)</f>
        <v>0.793842760130284</v>
      </c>
      <c r="Q162" s="16" t="n">
        <f aca="false">(Q45+Q47)/(Q44+Q46)</f>
        <v>1.15223130482137</v>
      </c>
      <c r="R162" s="16" t="e">
        <f aca="false">(R45+R47)/(R44+R46)</f>
        <v>#DIV/0!</v>
      </c>
      <c r="S162" s="16" t="n">
        <f aca="false">(S45+S47)/(S44+S46)</f>
        <v>1.17947894577401</v>
      </c>
      <c r="T162" s="16" t="n">
        <f aca="false">(T45+T47)/(T44+T46)</f>
        <v>0.522848120057222</v>
      </c>
      <c r="U162" s="16" t="n">
        <f aca="false">(U45+U47)/(U44+U46)</f>
        <v>0.499522314311098</v>
      </c>
      <c r="V162" s="16" t="n">
        <f aca="false">(V45+V47)/(V44+V46)</f>
        <v>0.167744920675973</v>
      </c>
      <c r="W162" s="16" t="n">
        <f aca="false">(W45+W47)/(W44+W46)</f>
        <v>0.090274619555711</v>
      </c>
      <c r="X162" s="16" t="e">
        <f aca="false">(X45+X47)/(X44+X46)</f>
        <v>#DIV/0!</v>
      </c>
      <c r="Y162" s="16"/>
      <c r="Z162" s="16" t="e">
        <f aca="false">(Z45+Z47)/(Z44+Z46)</f>
        <v>#DIV/0!</v>
      </c>
      <c r="AA162" s="16" t="n">
        <f aca="false">(AA45+AA47)/(AA44+AA46)</f>
        <v>1.40886838430578</v>
      </c>
      <c r="AB162" s="16" t="n">
        <f aca="false">(AB45+AB47)/(AB44+AB46)</f>
        <v>0.382109408527504</v>
      </c>
      <c r="AC162" s="16" t="e">
        <f aca="false">(AC45+AC47)/(AC44+AC46)</f>
        <v>#DIV/0!</v>
      </c>
      <c r="AD162" s="16" t="n">
        <f aca="false">(AD45+AD47)/(AD44+AD46)</f>
        <v>2.21104216328363</v>
      </c>
      <c r="AE162" s="16" t="n">
        <f aca="false">(AE45+AE47)/(AE44+AE46)</f>
        <v>1.6745166769223</v>
      </c>
      <c r="AF162" s="16" t="n">
        <f aca="false">(AF45+AF47)/(AF44+AF46)</f>
        <v>1.36731686252324</v>
      </c>
      <c r="AG162" s="16" t="n">
        <f aca="false">(AG45+AG47)/(AG44+AG46)</f>
        <v>0.912929109354578</v>
      </c>
      <c r="AH162" s="16" t="n">
        <f aca="false">(AH45+AH47)/(AH44+AH46)</f>
        <v>0.961764861254707</v>
      </c>
      <c r="AI162" s="16" t="n">
        <f aca="false">(AI45+AI47)/(AI44+AI46)</f>
        <v>1.0800835399627</v>
      </c>
      <c r="AJ162" s="16" t="e">
        <f aca="false">(AJ45+AJ47)/(AJ44+AJ46)</f>
        <v>#DIV/0!</v>
      </c>
      <c r="AK162" s="16"/>
      <c r="AL162" s="16" t="n">
        <f aca="false">(AL45+AL47)/(AL44+AL46)</f>
        <v>0.72440863110707</v>
      </c>
      <c r="AM162" s="16" t="n">
        <f aca="false">(AM45+AM47)/(AM44+AM46)</f>
        <v>0.0925299907979366</v>
      </c>
      <c r="AN162" s="16" t="n">
        <f aca="false">(AN45+AN47)/(AN44+AN46)</f>
        <v>0.817702420147249</v>
      </c>
      <c r="AO162" s="16" t="n">
        <f aca="false">(AO45+AO47)/(AO44+AO46)</f>
        <v>0.836136381633149</v>
      </c>
      <c r="AP162" s="16" t="n">
        <f aca="false">(AP45+AP47)/(AP44+AP46)</f>
        <v>0.564450792964234</v>
      </c>
      <c r="AQ162" s="16" t="n">
        <f aca="false">(AQ45+AQ47)/(AQ44+AQ46)</f>
        <v>0.338887004051976</v>
      </c>
      <c r="AR162" s="16" t="n">
        <f aca="false">(AR45+AR47)/(AR44+AR46)</f>
        <v>0.742693531880704</v>
      </c>
      <c r="AS162" s="16" t="e">
        <f aca="false">(AS45+AS47)/(AS44+AS46)</f>
        <v>#DIV/0!</v>
      </c>
      <c r="AT162" s="16" t="e">
        <f aca="false">(AT45+AT47)/(AT44+AT46)</f>
        <v>#DIV/0!</v>
      </c>
      <c r="AU162" s="16" t="e">
        <f aca="false">(AU45+AU47)/(AU44+AU46)</f>
        <v>#DIV/0!</v>
      </c>
      <c r="AV162" s="16"/>
      <c r="AW162" s="16"/>
      <c r="AX162" s="16"/>
      <c r="AY162" s="16" t="n">
        <f aca="false">(AY45+AY47)/(AY44+AY46)</f>
        <v>0.649271510071559</v>
      </c>
      <c r="AZ162" s="16" t="n">
        <f aca="false">(AZ45+AZ47)/(AZ44+AZ46)</f>
        <v>1.01449350226392</v>
      </c>
      <c r="BA162" s="16" t="n">
        <f aca="false">(BA45+BA47)/(BA44+BA46)</f>
        <v>0.592601474227784</v>
      </c>
      <c r="BB162" s="16" t="n">
        <f aca="false">(BB45+BB47)/(BB44+BB46)</f>
        <v>1.09819890697026</v>
      </c>
      <c r="BC162" s="16" t="n">
        <f aca="false">(BC45+BC47)/(BC44+BC46)</f>
        <v>1.22725969236596</v>
      </c>
      <c r="BD162" s="16"/>
      <c r="BE162" s="16" t="n">
        <f aca="false">(BE45+BE47)/(BE44+BE46)</f>
        <v>0.841244574735976</v>
      </c>
    </row>
    <row r="163" customFormat="false" ht="12.75" hidden="false" customHeight="true" outlineLevel="0" collapsed="false">
      <c r="A163" s="1" t="s">
        <v>55</v>
      </c>
      <c r="B163" s="1" t="n">
        <v>2024</v>
      </c>
      <c r="C163" s="1" t="s">
        <v>80</v>
      </c>
      <c r="D163" s="16" t="n">
        <f aca="false">SUMIFS(D$44:D$57, $A$44:$A$57,$A163, $C$44:$C$57, "$ Actual")/SUMIFS(D$44:D$57, $A$44:$A$57,$A163, $C$44:$C$57, "$ Budgeted")</f>
        <v>1.76112309485014</v>
      </c>
      <c r="E163" s="16" t="n">
        <f aca="false">SUMIFS(E$44:E$57, $A$44:$A$57,$A163, $C$44:$C$57, "$ Actual")/SUMIFS(E$44:E$57, $A$44:$A$57,$A163, $C$44:$C$57, "$ Budgeted")</f>
        <v>1.80922736134805</v>
      </c>
      <c r="F163" s="16" t="n">
        <f aca="false">SUMIFS(F$44:F$57, $A$44:$A$57,$A163, $C$44:$C$57, "$ Actual")/SUMIFS(F$44:F$57, $A$44:$A$57,$A163, $C$44:$C$57, "$ Budgeted")</f>
        <v>2.80357782714634</v>
      </c>
      <c r="G163" s="16" t="n">
        <f aca="false">SUMIFS(G$44:G$57, $A$44:$A$57,$A163, $C$44:$C$57, "$ Actual")/SUMIFS(G$44:G$57, $A$44:$A$57,$A163, $C$44:$C$57, "$ Budgeted")</f>
        <v>1.78059122411206</v>
      </c>
      <c r="H163" s="16" t="n">
        <f aca="false">SUMIFS(H$44:H$57, $A$44:$A$57,$A163, $C$44:$C$57, "$ Actual")/SUMIFS(H$44:H$57, $A$44:$A$57,$A163, $C$44:$C$57, "$ Budgeted")</f>
        <v>1.71704958553302</v>
      </c>
      <c r="I163" s="16" t="n">
        <f aca="false">SUMIFS(I$44:I$57, $A$44:$A$57,$A163, $C$44:$C$57, "$ Actual")/SUMIFS(I$44:I$57, $A$44:$A$57,$A163, $C$44:$C$57, "$ Budgeted")</f>
        <v>1.55246253689548</v>
      </c>
      <c r="J163" s="16" t="n">
        <f aca="false">SUMIFS(J$44:J$57, $A$44:$A$57,$A163, $C$44:$C$57, "$ Actual")/SUMIFS(J$44:J$57, $A$44:$A$57,$A163, $C$44:$C$57, "$ Budgeted")</f>
        <v>1.52965958214804</v>
      </c>
      <c r="K163" s="16" t="n">
        <f aca="false">SUMIFS(K$44:K$57, $A$44:$A$57,$A163, $C$44:$C$57, "$ Actual")/SUMIFS(K$44:K$57, $A$44:$A$57,$A163, $C$44:$C$57, "$ Budgeted")</f>
        <v>0.188606673633921</v>
      </c>
      <c r="L163" s="16" t="n">
        <f aca="false">SUMIFS(L$44:L$57, $A$44:$A$57,$A163, $C$44:$C$57, "$ Actual")/SUMIFS(L$44:L$57, $A$44:$A$57,$A163, $C$44:$C$57, "$ Budgeted")</f>
        <v>0.0966850917247457</v>
      </c>
      <c r="M163" s="16" t="e">
        <f aca="false">SUMIFS(M$44:M$57, $A$44:$A$57,$A163, $C$44:$C$57, "$ Actual")/SUMIFS(M$44:M$57, $A$44:$A$57,$A163, $C$44:$C$57, "$ Budgeted")</f>
        <v>#DIV/0!</v>
      </c>
      <c r="N163" s="16"/>
      <c r="O163" s="16" t="n">
        <f aca="false">SUMIFS(O$44:O$57, $A$44:$A$57,$A163, $C$44:$C$57, "$ Actual")/SUMIFS(O$44:O$57, $A$44:$A$57,$A163, $C$44:$C$57, "$ Budgeted")</f>
        <v>1.74305506139313</v>
      </c>
      <c r="P163" s="16" t="n">
        <f aca="false">SUMIFS(P$44:P$57, $A$44:$A$57,$A163, $C$44:$C$57, "$ Actual")/SUMIFS(P$44:P$57, $A$44:$A$57,$A163, $C$44:$C$57, "$ Budgeted")</f>
        <v>2.35005773354594</v>
      </c>
      <c r="Q163" s="16" t="n">
        <f aca="false">SUMIFS(Q$44:Q$57, $A$44:$A$57,$A163, $C$44:$C$57, "$ Actual")/SUMIFS(Q$44:Q$57, $A$44:$A$57,$A163, $C$44:$C$57, "$ Budgeted")</f>
        <v>1.70946434914165</v>
      </c>
      <c r="R163" s="16" t="n">
        <f aca="false">SUMIFS(R$44:R$57, $A$44:$A$57,$A163, $C$44:$C$57, "$ Actual")/SUMIFS(R$44:R$57, $A$44:$A$57,$A163, $C$44:$C$57, "$ Budgeted")</f>
        <v>1.14697408415806</v>
      </c>
      <c r="S163" s="16" t="n">
        <f aca="false">SUMIFS(S$44:S$57, $A$44:$A$57,$A163, $C$44:$C$57, "$ Actual")/SUMIFS(S$44:S$57, $A$44:$A$57,$A163, $C$44:$C$57, "$ Budgeted")</f>
        <v>1.52702474942773</v>
      </c>
      <c r="T163" s="16" t="n">
        <f aca="false">SUMIFS(T$44:T$57, $A$44:$A$57,$A163, $C$44:$C$57, "$ Actual")/SUMIFS(T$44:T$57, $A$44:$A$57,$A163, $C$44:$C$57, "$ Budgeted")</f>
        <v>1.22439805497201</v>
      </c>
      <c r="U163" s="16" t="n">
        <f aca="false">SUMIFS(U$44:U$57, $A$44:$A$57,$A163, $C$44:$C$57, "$ Actual")/SUMIFS(U$44:U$57, $A$44:$A$57,$A163, $C$44:$C$57, "$ Budgeted")</f>
        <v>1.32279707807111</v>
      </c>
      <c r="V163" s="16" t="n">
        <f aca="false">SUMIFS(V$44:V$57, $A$44:$A$57,$A163, $C$44:$C$57, "$ Actual")/SUMIFS(V$44:V$57, $A$44:$A$57,$A163, $C$44:$C$57, "$ Budgeted")</f>
        <v>1.0999259375163</v>
      </c>
      <c r="W163" s="16" t="n">
        <f aca="false">SUMIFS(W$44:W$57, $A$44:$A$57,$A163, $C$44:$C$57, "$ Actual")/SUMIFS(W$44:W$57, $A$44:$A$57,$A163, $C$44:$C$57, "$ Budgeted")</f>
        <v>0.463627469250839</v>
      </c>
      <c r="X163" s="16" t="e">
        <f aca="false">SUMIFS(X$44:X$57, $A$44:$A$57,$A163, $C$44:$C$57, "$ Actual")/SUMIFS(X$44:X$57, $A$44:$A$57,$A163, $C$44:$C$57, "$ Budgeted")</f>
        <v>#DIV/0!</v>
      </c>
      <c r="Y163" s="16"/>
      <c r="Z163" s="16" t="e">
        <f aca="false">SUMIFS(Z$44:Z$57, $A$44:$A$57,$A163, $C$44:$C$57, "Actual")/SUMIFS(Z$44:Z$57, $A$44:$A$57,$A163, $C$44:$C$57, "Budgeted")</f>
        <v>#DIV/0!</v>
      </c>
      <c r="AA163" s="16" t="n">
        <f aca="false">SUMIFS(AA$44:AA$57, $A$44:$A$57,$A163, $C$44:$C$57, "$ Actual")/SUMIFS(AA$44:AA$57, $A$44:$A$57,$A163, $C$44:$C$57, "$ Budgeted")</f>
        <v>1.55288339308546</v>
      </c>
      <c r="AB163" s="16" t="n">
        <f aca="false">SUMIFS(AB$44:AB$57, $A$44:$A$57,$A163, $C$44:$C$57, "$ Actual")/SUMIFS(AB$44:AB$57, $A$44:$A$57,$A163, $C$44:$C$57, "$ Budgeted")</f>
        <v>2.62954371707736</v>
      </c>
      <c r="AC163" s="16" t="e">
        <f aca="false">SUMIFS(AC$44:AC$57, $A$44:$A$57,$A163, $C$44:$C$57, "Actual")/SUMIFS(AC$44:AC$57, $A$44:$A$57,$A163, $C$44:$C$57, "Budgeted")</f>
        <v>#DIV/0!</v>
      </c>
      <c r="AD163" s="16" t="n">
        <f aca="false">SUMIFS(AD$44:AD$57, $A$44:$A$57,$A163, $C$44:$C$57, "$ Actual")/SUMIFS(AD$44:AD$57, $A$44:$A$57,$A163, $C$44:$C$57, "$ Budgeted")</f>
        <v>1.07357439270914</v>
      </c>
      <c r="AE163" s="16" t="n">
        <f aca="false">SUMIFS(AE$44:AE$57, $A$44:$A$57,$A163, $C$44:$C$57, "$ Actual")/SUMIFS(AE$44:AE$57, $A$44:$A$57,$A163, $C$44:$C$57, "$ Budgeted")</f>
        <v>1.71751110517351</v>
      </c>
      <c r="AF163" s="16" t="n">
        <f aca="false">SUMIFS(AF$44:AF$57, $A$44:$A$57,$A163, $C$44:$C$57, "$ Actual")/SUMIFS(AF$44:AF$57, $A$44:$A$57,$A163, $C$44:$C$57, "$ Budgeted")</f>
        <v>1.00587329222333</v>
      </c>
      <c r="AG163" s="16" t="n">
        <f aca="false">SUMIFS(AG$44:AG$57, $A$44:$A$57,$A163, $C$44:$C$57, "$ Actual")/SUMIFS(AG$44:AG$57, $A$44:$A$57,$A163, $C$44:$C$57, "$ Budgeted")</f>
        <v>1.03977165059132</v>
      </c>
      <c r="AH163" s="16" t="n">
        <f aca="false">SUMIFS(AH$44:AH$57, $A$44:$A$57,$A163, $C$44:$C$57, "$ Actual")/SUMIFS(AH$44:AH$57, $A$44:$A$57,$A163, $C$44:$C$57, "$ Budgeted")</f>
        <v>0.924020840047266</v>
      </c>
      <c r="AI163" s="16" t="n">
        <f aca="false">SUMIFS(AI$44:AI$57, $A$44:$A$57,$A163, $C$44:$C$57, "$ Actual")/SUMIFS(AI$44:AI$57, $A$44:$A$57,$A163, $C$44:$C$57, "$ Budgeted")</f>
        <v>1.05724541036952</v>
      </c>
      <c r="AJ163" s="16" t="e">
        <f aca="false">SUMIFS(AJ$44:AJ$57, $A$44:$A$57,$A163, $C$44:$C$57, "$ Actual")/SUMIFS(AJ$44:AJ$57, $A$44:$A$57,$A163, $C$44:$C$57, "$ Budgeted")</f>
        <v>#DIV/0!</v>
      </c>
      <c r="AK163" s="16"/>
      <c r="AL163" s="16" t="n">
        <f aca="false">SUMIFS(AL$44:AL$57, $A$44:$A$57,$A163, $C$44:$C$57, "$ Actual")/SUMIFS(AL$44:AL$57, $A$44:$A$57,$A163, $C$44:$C$57, "$ Budgeted")</f>
        <v>1.29876704620681</v>
      </c>
      <c r="AM163" s="16" t="n">
        <f aca="false">SUMIFS(AM$44:AM$57, $A$44:$A$57,$A163, $C$44:$C$57, "$ Actual")/SUMIFS(AM$44:AM$57, $A$44:$A$57,$A163, $C$44:$C$57, "$ Budgeted")</f>
        <v>0.444517864608417</v>
      </c>
      <c r="AN163" s="16" t="n">
        <f aca="false">SUMIFS(AN$44:AN$57, $A$44:$A$57,$A163, $C$44:$C$57, "$ Actual")/SUMIFS(AN$44:AN$57, $A$44:$A$57,$A163, $C$44:$C$57, "$ Budgeted")</f>
        <v>1.06325424783894</v>
      </c>
      <c r="AO163" s="16" t="n">
        <f aca="false">SUMIFS(AO$44:AO$57, $A$44:$A$57,$A163, $C$44:$C$57, "$ Actual")/SUMIFS(AO$44:AO$57, $A$44:$A$57,$A163, $C$44:$C$57, "$ Budgeted")</f>
        <v>1.06439376207539</v>
      </c>
      <c r="AP163" s="16" t="n">
        <f aca="false">SUMIFS(AP$44:AP$57, $A$44:$A$57,$A163, $C$44:$C$57, "$ Actual")/SUMIFS(AP$44:AP$57, $A$44:$A$57,$A163, $C$44:$C$57, "$ Budgeted")</f>
        <v>1.44850843923969</v>
      </c>
      <c r="AQ163" s="16" t="n">
        <f aca="false">SUMIFS(AQ$44:AQ$57, $A$44:$A$57,$A163, $C$44:$C$57, "$ Actual")/SUMIFS(AQ$44:AQ$57, $A$44:$A$57,$A163, $C$44:$C$57, "$ Budgeted")</f>
        <v>1.21011935877331</v>
      </c>
      <c r="AR163" s="16" t="n">
        <f aca="false">SUMIFS(AR$44:AR$57, $A$44:$A$57,$A163, $C$44:$C$57, "$ Actual")/SUMIFS(AR$44:AR$57, $A$44:$A$57,$A163, $C$44:$C$57, "$ Budgeted")</f>
        <v>1.43491398868757</v>
      </c>
      <c r="AS163" s="16" t="n">
        <f aca="false">SUMIFS(AS$44:AS$57, $A$44:$A$57,$A163, $C$44:$C$57, "$ Actual")/SUMIFS(AS$44:AS$57, $A$44:$A$57,$A163, $C$44:$C$57, "$ Budgeted")</f>
        <v>0.308312469467513</v>
      </c>
      <c r="AT163" s="16" t="e">
        <f aca="false">SUMIFS(AT$44:AT$57, $A$44:$A$57,$A163, $C$44:$C$57, "$ Actual")/SUMIFS(AT$44:AT$57, $A$44:$A$57,$A163, $C$44:$C$57, "$ Budgeted")</f>
        <v>#DIV/0!</v>
      </c>
      <c r="AU163" s="16" t="e">
        <f aca="false">SUMIFS(AU$44:AU$57, $A$44:$A$57,$A163, $C$44:$C$57, "$ Actual")/SUMIFS(AU$44:AU$57, $A$44:$A$57,$A163, $C$44:$C$57, "$ Budgeted")</f>
        <v>#DIV/0!</v>
      </c>
      <c r="AV163" s="16"/>
      <c r="AW163" s="16"/>
      <c r="AX163" s="16"/>
      <c r="AY163" s="16" t="n">
        <f aca="false">SUMIFS(AY$44:AY$57, $A$44:$A$57,$A163, $C$44:$C$57, "$ Actual")/SUMIFS(AY$44:AY$57, $A$44:$A$57,$A163, $C$44:$C$57, "$ Budgeted")</f>
        <v>1.0746206528738</v>
      </c>
      <c r="AZ163" s="16" t="n">
        <f aca="false">SUMIFS(AZ$44:AZ$57, $A$44:$A$57,$A163, $C$44:$C$57, "$ Actual")/SUMIFS(AZ$44:AZ$57, $A$44:$A$57,$A163, $C$44:$C$57, "$ Budgeted")</f>
        <v>1.47079060628729</v>
      </c>
      <c r="BA163" s="16" t="n">
        <f aca="false">SUMIFS(BA$44:BA$57, $A$44:$A$57,$A163, $C$44:$C$57, "$ Actual")/SUMIFS(BA$44:BA$57, $A$44:$A$57,$A163, $C$44:$C$57, "$ Budgeted")</f>
        <v>1.30422497598224</v>
      </c>
      <c r="BB163" s="16" t="n">
        <f aca="false">SUMIFS(BB$44:BB$57, $A$44:$A$57,$A163, $C$44:$C$57, "$ Actual")/SUMIFS(BB$44:BB$57, $A$44:$A$57,$A163, $C$44:$C$57, "$ Budgeted")</f>
        <v>1.99758205966127</v>
      </c>
      <c r="BC163" s="16" t="n">
        <f aca="false">SUMIFS(BC$44:BC$57, $A$44:$A$57,$A163, $C$44:$C$57, "$ Actual")/SUMIFS(BC$44:BC$57, $A$44:$A$57,$A163, $C$44:$C$57, "$ Budgeted")</f>
        <v>1.08666618593431</v>
      </c>
      <c r="BD163" s="16"/>
      <c r="BE163" s="16" t="n">
        <f aca="false">SUMIFS(BE$44:BE$57, $A$44:$A$57,$A163, $C$44:$C$57, "$ Actual")/SUMIFS(BE$44:BE$57, $A$44:$A$57,$A163, $C$44:$C$57, "$ Budgeted")</f>
        <v>1.23752156014417</v>
      </c>
    </row>
    <row r="164" customFormat="false" ht="12.75" hidden="false" customHeight="true" outlineLevel="0" collapsed="false">
      <c r="A164" s="1" t="s">
        <v>72</v>
      </c>
      <c r="B164" s="1" t="n">
        <v>2024</v>
      </c>
      <c r="C164" s="1" t="s">
        <v>80</v>
      </c>
      <c r="D164" s="16" t="n">
        <f aca="false">SUMIFS(D$44:D$57, $A$44:$A$57,$A164, $C$44:$C$57, "$ Actual")/SUMIFS(D$44:D$57, $A$44:$A$57,$A164, $C$44:$C$57, "$ Budgeted")</f>
        <v>1.03764646464646</v>
      </c>
      <c r="E164" s="16" t="n">
        <f aca="false">SUMIFS(E$44:E$57, $A$44:$A$57,$A164, $C$44:$C$57, "$ Actual")/SUMIFS(E$44:E$57, $A$44:$A$57,$A164, $C$44:$C$57, "$ Budgeted")</f>
        <v>0.886558836264778</v>
      </c>
      <c r="F164" s="16" t="n">
        <f aca="false">SUMIFS(F$44:F$57, $A$44:$A$57,$A164, $C$44:$C$57, "$ Actual")/SUMIFS(F$44:F$57, $A$44:$A$57,$A164, $C$44:$C$57, "$ Budgeted")</f>
        <v>0.720741737796789</v>
      </c>
      <c r="G164" s="16" t="n">
        <f aca="false">SUMIFS(G$44:G$57, $A$44:$A$57,$A164, $C$44:$C$57, "$ Actual")/SUMIFS(G$44:G$57, $A$44:$A$57,$A164, $C$44:$C$57, "$ Budgeted")</f>
        <v>1.41501090323728</v>
      </c>
      <c r="H164" s="16" t="n">
        <f aca="false">SUMIFS(H$44:H$57, $A$44:$A$57,$A164, $C$44:$C$57, "$ Actual")/SUMIFS(H$44:H$57, $A$44:$A$57,$A164, $C$44:$C$57, "$ Budgeted")</f>
        <v>0.698429559471778</v>
      </c>
      <c r="I164" s="16" t="n">
        <f aca="false">SUMIFS(I$44:I$57, $A$44:$A$57,$A164, $C$44:$C$57, "$ Actual")/SUMIFS(I$44:I$57, $A$44:$A$57,$A164, $C$44:$C$57, "$ Budgeted")</f>
        <v>0.916845809368909</v>
      </c>
      <c r="J164" s="16" t="n">
        <f aca="false">SUMIFS(J$44:J$57, $A$44:$A$57,$A164, $C$44:$C$57, "$ Actual")/SUMIFS(J$44:J$57, $A$44:$A$57,$A164, $C$44:$C$57, "$ Budgeted")</f>
        <v>0.871384391901769</v>
      </c>
      <c r="K164" s="16" t="e">
        <f aca="false">SUMIFS(K$44:K$57, $A$44:$A$57,$A164, $C$44:$C$57, "$ Actual")/SUMIFS(K$44:K$57, $A$44:$A$57,$A164, $C$44:$C$57, "$ Budgeted")</f>
        <v>#DIV/0!</v>
      </c>
      <c r="L164" s="16" t="e">
        <f aca="false">SUMIFS(L$44:L$57, $A$44:$A$57,$A164, $C$44:$C$57, "$ Actual")/SUMIFS(L$44:L$57, $A$44:$A$57,$A164, $C$44:$C$57, "$ Budgeted")</f>
        <v>#DIV/0!</v>
      </c>
      <c r="M164" s="16" t="e">
        <f aca="false">SUMIFS(M$44:M$57, $A$44:$A$57,$A164, $C$44:$C$57, "$ Actual")/SUMIFS(M$44:M$57, $A$44:$A$57,$A164, $C$44:$C$57, "$ Budgeted")</f>
        <v>#DIV/0!</v>
      </c>
      <c r="N164" s="16"/>
      <c r="O164" s="16" t="n">
        <f aca="false">SUMIFS(O$44:O$57, $A$44:$A$57,$A164, $C$44:$C$57, "$ Actual")/SUMIFS(O$44:O$57, $A$44:$A$57,$A164, $C$44:$C$57, "$ Budgeted")</f>
        <v>0.896064426673546</v>
      </c>
      <c r="P164" s="16" t="n">
        <f aca="false">SUMIFS(P$44:P$57, $A$44:$A$57,$A164, $C$44:$C$57, "$ Actual")/SUMIFS(P$44:P$57, $A$44:$A$57,$A164, $C$44:$C$57, "$ Budgeted")</f>
        <v>0.751861460960553</v>
      </c>
      <c r="Q164" s="16" t="n">
        <f aca="false">SUMIFS(Q$44:Q$57, $A$44:$A$57,$A164, $C$44:$C$57, "$ Actual")/SUMIFS(Q$44:Q$57, $A$44:$A$57,$A164, $C$44:$C$57, "$ Budgeted")</f>
        <v>1.05684043701937</v>
      </c>
      <c r="R164" s="16" t="n">
        <f aca="false">SUMIFS(R$44:R$57, $A$44:$A$57,$A164, $C$44:$C$57, "$ Actual")/SUMIFS(R$44:R$57, $A$44:$A$57,$A164, $C$44:$C$57, "$ Budgeted")</f>
        <v>0.748972698147374</v>
      </c>
      <c r="S164" s="16" t="n">
        <f aca="false">SUMIFS(S$44:S$57, $A$44:$A$57,$A164, $C$44:$C$57, "$ Actual")/SUMIFS(S$44:S$57, $A$44:$A$57,$A164, $C$44:$C$57, "$ Budgeted")</f>
        <v>0.684271342821482</v>
      </c>
      <c r="T164" s="16" t="n">
        <f aca="false">SUMIFS(T$44:T$57, $A$44:$A$57,$A164, $C$44:$C$57, "$ Actual")/SUMIFS(T$44:T$57, $A$44:$A$57,$A164, $C$44:$C$57, "$ Budgeted")</f>
        <v>0.608564160746934</v>
      </c>
      <c r="U164" s="16" t="n">
        <f aca="false">SUMIFS(U$44:U$57, $A$44:$A$57,$A164, $C$44:$C$57, "$ Actual")/SUMIFS(U$44:U$57, $A$44:$A$57,$A164, $C$44:$C$57, "$ Budgeted")</f>
        <v>0.507916752382912</v>
      </c>
      <c r="V164" s="16" t="n">
        <f aca="false">SUMIFS(V$44:V$57, $A$44:$A$57,$A164, $C$44:$C$57, "$ Actual")/SUMIFS(V$44:V$57, $A$44:$A$57,$A164, $C$44:$C$57, "$ Budgeted")</f>
        <v>0.311735856534232</v>
      </c>
      <c r="W164" s="16" t="n">
        <f aca="false">SUMIFS(W$44:W$57, $A$44:$A$57,$A164, $C$44:$C$57, "$ Actual")/SUMIFS(W$44:W$57, $A$44:$A$57,$A164, $C$44:$C$57, "$ Budgeted")</f>
        <v>0.274448937813735</v>
      </c>
      <c r="X164" s="16" t="e">
        <f aca="false">SUMIFS(X$44:X$57, $A$44:$A$57,$A164, $C$44:$C$57, "$ Actual")/SUMIFS(X$44:X$57, $A$44:$A$57,$A164, $C$44:$C$57, "$ Budgeted")</f>
        <v>#DIV/0!</v>
      </c>
      <c r="Y164" s="16"/>
      <c r="Z164" s="16" t="e">
        <f aca="false">SUMIFS(Z$44:Z$57, $A$44:$A$57,$A164, $C$44:$C$57, "Actual")/SUMIFS(Z$44:Z$57, $A$44:$A$57,$A164, $C$44:$C$57, "Budgeted")</f>
        <v>#DIV/0!</v>
      </c>
      <c r="AA164" s="16" t="n">
        <f aca="false">SUMIFS(AA$44:AA$57, $A$44:$A$57,$A164, $C$44:$C$57, "$ Actual")/SUMIFS(AA$44:AA$57, $A$44:$A$57,$A164, $C$44:$C$57, "$ Budgeted")</f>
        <v>1.21359357696567</v>
      </c>
      <c r="AB164" s="16" t="e">
        <f aca="false">SUMIFS(AB$44:AB$57, $A$44:$A$57,$A164, $C$44:$C$57, "$ Actual")/SUMIFS(AB$44:AB$57, $A$44:$A$57,$A164, $C$44:$C$57, "$ Budgeted")</f>
        <v>#DIV/0!</v>
      </c>
      <c r="AC164" s="16" t="e">
        <f aca="false">SUMIFS(AC$44:AC$57, $A$44:$A$57,$A164, $C$44:$C$57, "Actual")/SUMIFS(AC$44:AC$57, $A$44:$A$57,$A164, $C$44:$C$57, "Budgeted")</f>
        <v>#DIV/0!</v>
      </c>
      <c r="AD164" s="16" t="n">
        <f aca="false">SUMIFS(AD$44:AD$57, $A$44:$A$57,$A164, $C$44:$C$57, "$ Actual")/SUMIFS(AD$44:AD$57, $A$44:$A$57,$A164, $C$44:$C$57, "$ Budgeted")</f>
        <v>0</v>
      </c>
      <c r="AE164" s="16" t="n">
        <f aca="false">SUMIFS(AE$44:AE$57, $A$44:$A$57,$A164, $C$44:$C$57, "$ Actual")/SUMIFS(AE$44:AE$57, $A$44:$A$57,$A164, $C$44:$C$57, "$ Budgeted")</f>
        <v>0.684901960784314</v>
      </c>
      <c r="AF164" s="16" t="n">
        <f aca="false">SUMIFS(AF$44:AF$57, $A$44:$A$57,$A164, $C$44:$C$57, "$ Actual")/SUMIFS(AF$44:AF$57, $A$44:$A$57,$A164, $C$44:$C$57, "$ Budgeted")</f>
        <v>0.867470588235294</v>
      </c>
      <c r="AG164" s="16" t="n">
        <f aca="false">SUMIFS(AG$44:AG$57, $A$44:$A$57,$A164, $C$44:$C$57, "$ Actual")/SUMIFS(AG$44:AG$57, $A$44:$A$57,$A164, $C$44:$C$57, "$ Budgeted")</f>
        <v>0.540422574367529</v>
      </c>
      <c r="AH164" s="16" t="n">
        <f aca="false">SUMIFS(AH$44:AH$57, $A$44:$A$57,$A164, $C$44:$C$57, "$ Actual")/SUMIFS(AH$44:AH$57, $A$44:$A$57,$A164, $C$44:$C$57, "$ Budgeted")</f>
        <v>0.719742251223491</v>
      </c>
      <c r="AI164" s="16" t="n">
        <f aca="false">SUMIFS(AI$44:AI$57, $A$44:$A$57,$A164, $C$44:$C$57, "$ Actual")/SUMIFS(AI$44:AI$57, $A$44:$A$57,$A164, $C$44:$C$57, "$ Budgeted")</f>
        <v>0.692775455619457</v>
      </c>
      <c r="AJ164" s="16" t="e">
        <f aca="false">SUMIFS(AJ$44:AJ$57, $A$44:$A$57,$A164, $C$44:$C$57, "$ Actual")/SUMIFS(AJ$44:AJ$57, $A$44:$A$57,$A164, $C$44:$C$57, "$ Budgeted")</f>
        <v>#DIV/0!</v>
      </c>
      <c r="AK164" s="16"/>
      <c r="AL164" s="16" t="n">
        <f aca="false">SUMIFS(AL$44:AL$57, $A$44:$A$57,$A164, $C$44:$C$57, "$ Actual")/SUMIFS(AL$44:AL$57, $A$44:$A$57,$A164, $C$44:$C$57, "$ Budgeted")</f>
        <v>0.409246614533664</v>
      </c>
      <c r="AM164" s="16" t="n">
        <f aca="false">SUMIFS(AM$44:AM$57, $A$44:$A$57,$A164, $C$44:$C$57, "$ Actual")/SUMIFS(AM$44:AM$57, $A$44:$A$57,$A164, $C$44:$C$57, "$ Budgeted")</f>
        <v>0.732617539502385</v>
      </c>
      <c r="AN164" s="16" t="n">
        <f aca="false">SUMIFS(AN$44:AN$57, $A$44:$A$57,$A164, $C$44:$C$57, "$ Actual")/SUMIFS(AN$44:AN$57, $A$44:$A$57,$A164, $C$44:$C$57, "$ Budgeted")</f>
        <v>0.703943481584003</v>
      </c>
      <c r="AO164" s="16" t="n">
        <f aca="false">SUMIFS(AO$44:AO$57, $A$44:$A$57,$A164, $C$44:$C$57, "$ Actual")/SUMIFS(AO$44:AO$57, $A$44:$A$57,$A164, $C$44:$C$57, "$ Budgeted")</f>
        <v>0.878673727992995</v>
      </c>
      <c r="AP164" s="16" t="n">
        <f aca="false">SUMIFS(AP$44:AP$57, $A$44:$A$57,$A164, $C$44:$C$57, "$ Actual")/SUMIFS(AP$44:AP$57, $A$44:$A$57,$A164, $C$44:$C$57, "$ Budgeted")</f>
        <v>0.727402882205514</v>
      </c>
      <c r="AQ164" s="16" t="n">
        <f aca="false">SUMIFS(AQ$44:AQ$57, $A$44:$A$57,$A164, $C$44:$C$57, "$ Actual")/SUMIFS(AQ$44:AQ$57, $A$44:$A$57,$A164, $C$44:$C$57, "$ Budgeted")</f>
        <v>0.973149635718289</v>
      </c>
      <c r="AR164" s="16" t="n">
        <f aca="false">SUMIFS(AR$44:AR$57, $A$44:$A$57,$A164, $C$44:$C$57, "$ Actual")/SUMIFS(AR$44:AR$57, $A$44:$A$57,$A164, $C$44:$C$57, "$ Budgeted")</f>
        <v>0.928968120968032</v>
      </c>
      <c r="AS164" s="16" t="n">
        <f aca="false">SUMIFS(AS$44:AS$57, $A$44:$A$57,$A164, $C$44:$C$57, "$ Actual")/SUMIFS(AS$44:AS$57, $A$44:$A$57,$A164, $C$44:$C$57, "$ Budgeted")</f>
        <v>0.104555722891566</v>
      </c>
      <c r="AT164" s="16" t="e">
        <f aca="false">SUMIFS(AT$44:AT$57, $A$44:$A$57,$A164, $C$44:$C$57, "$ Actual")/SUMIFS(AT$44:AT$57, $A$44:$A$57,$A164, $C$44:$C$57, "$ Budgeted")</f>
        <v>#DIV/0!</v>
      </c>
      <c r="AU164" s="16" t="e">
        <f aca="false">SUMIFS(AU$44:AU$57, $A$44:$A$57,$A164, $C$44:$C$57, "$ Actual")/SUMIFS(AU$44:AU$57, $A$44:$A$57,$A164, $C$44:$C$57, "$ Budgeted")</f>
        <v>#DIV/0!</v>
      </c>
      <c r="AV164" s="16"/>
      <c r="AW164" s="16"/>
      <c r="AX164" s="16"/>
      <c r="AY164" s="16" t="n">
        <f aca="false">SUMIFS(AY$44:AY$57, $A$44:$A$57,$A164, $C$44:$C$57, "$ Actual")/SUMIFS(AY$44:AY$57, $A$44:$A$57,$A164, $C$44:$C$57, "$ Budgeted")</f>
        <v>0.710243445364437</v>
      </c>
      <c r="AZ164" s="16" t="n">
        <f aca="false">SUMIFS(AZ$44:AZ$57, $A$44:$A$57,$A164, $C$44:$C$57, "$ Actual")/SUMIFS(AZ$44:AZ$57, $A$44:$A$57,$A164, $C$44:$C$57, "$ Budgeted")</f>
        <v>0.912847412033023</v>
      </c>
      <c r="BA164" s="16" t="n">
        <f aca="false">SUMIFS(BA$44:BA$57, $A$44:$A$57,$A164, $C$44:$C$57, "$ Actual")/SUMIFS(BA$44:BA$57, $A$44:$A$57,$A164, $C$44:$C$57, "$ Budgeted")</f>
        <v>0.64801143995892</v>
      </c>
      <c r="BB164" s="16" t="n">
        <f aca="false">SUMIFS(BB$44:BB$57, $A$44:$A$57,$A164, $C$44:$C$57, "$ Actual")/SUMIFS(BB$44:BB$57, $A$44:$A$57,$A164, $C$44:$C$57, "$ Budgeted")</f>
        <v>1.21359357696567</v>
      </c>
      <c r="BC164" s="16" t="n">
        <f aca="false">SUMIFS(BC$44:BC$57, $A$44:$A$57,$A164, $C$44:$C$57, "$ Actual")/SUMIFS(BC$44:BC$57, $A$44:$A$57,$A164, $C$44:$C$57, "$ Budgeted")</f>
        <v>0.526730592407724</v>
      </c>
      <c r="BD164" s="16"/>
      <c r="BE164" s="16" t="n">
        <f aca="false">SUMIFS(BE$44:BE$57, $A$44:$A$57,$A164, $C$44:$C$57, "$ Actual")/SUMIFS(BE$44:BE$57, $A$44:$A$57,$A164, $C$44:$C$57, "$ Budgeted")</f>
        <v>0.7123484969547</v>
      </c>
    </row>
    <row r="165" customFormat="false" ht="12.75" hidden="false" customHeight="true" outlineLevel="0" collapsed="false">
      <c r="A165" s="1" t="s">
        <v>57</v>
      </c>
      <c r="B165" s="1" t="n">
        <v>2024</v>
      </c>
      <c r="C165" s="1" t="s">
        <v>80</v>
      </c>
      <c r="D165" s="16" t="n">
        <f aca="false">SUMIFS(D$44:D$57, $A$44:$A$57,$A165, $C$44:$C$57, "$ Actual")/SUMIFS(D$44:D$57, $A$44:$A$57,$A165, $C$44:$C$57, "$ Budgeted")</f>
        <v>0</v>
      </c>
      <c r="E165" s="16" t="e">
        <f aca="false">SUMIFS(E$44:E$57, $A$44:$A$57,$A165, $C$44:$C$57, "$ Actual")/SUMIFS(E$44:E$57, $A$44:$A$57,$A165, $C$44:$C$57, "$ Budgeted")</f>
        <v>#DIV/0!</v>
      </c>
      <c r="F165" s="16" t="e">
        <f aca="false">SUMIFS(F$44:F$57, $A$44:$A$57,$A165, $C$44:$C$57, "$ Actual")/SUMIFS(F$44:F$57, $A$44:$A$57,$A165, $C$44:$C$57, "$ Budgeted")</f>
        <v>#DIV/0!</v>
      </c>
      <c r="G165" s="16" t="n">
        <f aca="false">SUMIFS(G$44:G$57, $A$44:$A$57,$A165, $C$44:$C$57, "$ Actual")/SUMIFS(G$44:G$57, $A$44:$A$57,$A165, $C$44:$C$57, "$ Budgeted")</f>
        <v>0.618616822429907</v>
      </c>
      <c r="H165" s="16" t="e">
        <f aca="false">SUMIFS(H$44:H$57, $A$44:$A$57,$A165, $C$44:$C$57, "$ Actual")/SUMIFS(H$44:H$57, $A$44:$A$57,$A165, $C$44:$C$57, "$ Budgeted")</f>
        <v>#DIV/0!</v>
      </c>
      <c r="I165" s="16" t="n">
        <f aca="false">SUMIFS(I$44:I$57, $A$44:$A$57,$A165, $C$44:$C$57, "$ Actual")/SUMIFS(I$44:I$57, $A$44:$A$57,$A165, $C$44:$C$57, "$ Budgeted")</f>
        <v>0.267142857142857</v>
      </c>
      <c r="J165" s="16" t="e">
        <f aca="false">SUMIFS(J$44:J$57, $A$44:$A$57,$A165, $C$44:$C$57, "$ Actual")/SUMIFS(J$44:J$57, $A$44:$A$57,$A165, $C$44:$C$57, "$ Budgeted")</f>
        <v>#DIV/0!</v>
      </c>
      <c r="K165" s="16" t="e">
        <f aca="false">SUMIFS(K$44:K$57, $A$44:$A$57,$A165, $C$44:$C$57, "$ Actual")/SUMIFS(K$44:K$57, $A$44:$A$57,$A165, $C$44:$C$57, "$ Budgeted")</f>
        <v>#DIV/0!</v>
      </c>
      <c r="L165" s="16" t="e">
        <f aca="false">SUMIFS(L$44:L$57, $A$44:$A$57,$A165, $C$44:$C$57, "$ Actual")/SUMIFS(L$44:L$57, $A$44:$A$57,$A165, $C$44:$C$57, "$ Budgeted")</f>
        <v>#DIV/0!</v>
      </c>
      <c r="M165" s="16" t="e">
        <f aca="false">SUMIFS(M$44:M$57, $A$44:$A$57,$A165, $C$44:$C$57, "$ Actual")/SUMIFS(M$44:M$57, $A$44:$A$57,$A165, $C$44:$C$57, "$ Budgeted")</f>
        <v>#DIV/0!</v>
      </c>
      <c r="N165" s="16"/>
      <c r="O165" s="16" t="n">
        <f aca="false">SUMIFS(O$44:O$57, $A$44:$A$57,$A165, $C$44:$C$57, "$ Actual")/SUMIFS(O$44:O$57, $A$44:$A$57,$A165, $C$44:$C$57, "$ Budgeted")</f>
        <v>0.895010705571877</v>
      </c>
      <c r="P165" s="16" t="e">
        <f aca="false">SUMIFS(P$44:P$57, $A$44:$A$57,$A165, $C$44:$C$57, "$ Actual")/SUMIFS(P$44:P$57, $A$44:$A$57,$A165, $C$44:$C$57, "$ Budgeted")</f>
        <v>#DIV/0!</v>
      </c>
      <c r="Q165" s="16" t="n">
        <f aca="false">SUMIFS(Q$44:Q$57, $A$44:$A$57,$A165, $C$44:$C$57, "$ Actual")/SUMIFS(Q$44:Q$57, $A$44:$A$57,$A165, $C$44:$C$57, "$ Budgeted")</f>
        <v>0.777763832120971</v>
      </c>
      <c r="R165" s="16" t="n">
        <f aca="false">SUMIFS(R$44:R$57, $A$44:$A$57,$A165, $C$44:$C$57, "$ Actual")/SUMIFS(R$44:R$57, $A$44:$A$57,$A165, $C$44:$C$57, "$ Budgeted")</f>
        <v>1.0435034089841</v>
      </c>
      <c r="S165" s="16" t="n">
        <f aca="false">SUMIFS(S$44:S$57, $A$44:$A$57,$A165, $C$44:$C$57, "$ Actual")/SUMIFS(S$44:S$57, $A$44:$A$57,$A165, $C$44:$C$57, "$ Budgeted")</f>
        <v>0.73823323765364</v>
      </c>
      <c r="T165" s="16" t="n">
        <f aca="false">SUMIFS(T$44:T$57, $A$44:$A$57,$A165, $C$44:$C$57, "$ Actual")/SUMIFS(T$44:T$57, $A$44:$A$57,$A165, $C$44:$C$57, "$ Budgeted")</f>
        <v>0.32241306727288</v>
      </c>
      <c r="U165" s="16" t="n">
        <f aca="false">SUMIFS(U$44:U$57, $A$44:$A$57,$A165, $C$44:$C$57, "$ Actual")/SUMIFS(U$44:U$57, $A$44:$A$57,$A165, $C$44:$C$57, "$ Budgeted")</f>
        <v>0.227708659874608</v>
      </c>
      <c r="V165" s="16" t="n">
        <f aca="false">SUMIFS(V$44:V$57, $A$44:$A$57,$A165, $C$44:$C$57, "$ Actual")/SUMIFS(V$44:V$57, $A$44:$A$57,$A165, $C$44:$C$57, "$ Budgeted")</f>
        <v>0</v>
      </c>
      <c r="W165" s="16" t="n">
        <f aca="false">SUMIFS(W$44:W$57, $A$44:$A$57,$A165, $C$44:$C$57, "$ Actual")/SUMIFS(W$44:W$57, $A$44:$A$57,$A165, $C$44:$C$57, "$ Budgeted")</f>
        <v>0.16717619801085</v>
      </c>
      <c r="X165" s="16" t="e">
        <f aca="false">SUMIFS(X$44:X$57, $A$44:$A$57,$A165, $C$44:$C$57, "$ Actual")/SUMIFS(X$44:X$57, $A$44:$A$57,$A165, $C$44:$C$57, "$ Budgeted")</f>
        <v>#DIV/0!</v>
      </c>
      <c r="Y165" s="16"/>
      <c r="Z165" s="16" t="e">
        <f aca="false">SUMIFS(Z$44:Z$57, $A$44:$A$57,$A165, $C$44:$C$57, "Actual")/SUMIFS(Z$44:Z$57, $A$44:$A$57,$A165, $C$44:$C$57, "Budgeted")</f>
        <v>#DIV/0!</v>
      </c>
      <c r="AA165" s="16" t="e">
        <f aca="false">SUMIFS(AA$44:AA$57, $A$44:$A$57,$A165, $C$44:$C$57, "$ Actual")/SUMIFS(AA$44:AA$57, $A$44:$A$57,$A165, $C$44:$C$57, "$ Budgeted")</f>
        <v>#DIV/0!</v>
      </c>
      <c r="AB165" s="16" t="n">
        <f aca="false">SUMIFS(AB$44:AB$57, $A$44:$A$57,$A165, $C$44:$C$57, "$ Actual")/SUMIFS(AB$44:AB$57, $A$44:$A$57,$A165, $C$44:$C$57, "$ Budgeted")</f>
        <v>1.05944409183263</v>
      </c>
      <c r="AC165" s="16" t="e">
        <f aca="false">SUMIFS(AC$44:AC$57, $A$44:$A$57,$A165, $C$44:$C$57, "Actual")/SUMIFS(AC$44:AC$57, $A$44:$A$57,$A165, $C$44:$C$57, "Budgeted")</f>
        <v>#DIV/0!</v>
      </c>
      <c r="AD165" s="16" t="e">
        <f aca="false">SUMIFS(AD$44:AD$57, $A$44:$A$57,$A165, $C$44:$C$57, "$ Actual")/SUMIFS(AD$44:AD$57, $A$44:$A$57,$A165, $C$44:$C$57, "$ Budgeted")</f>
        <v>#DIV/0!</v>
      </c>
      <c r="AE165" s="16" t="e">
        <f aca="false">SUMIFS(AE$44:AE$57, $A$44:$A$57,$A165, $C$44:$C$57, "$ Actual")/SUMIFS(AE$44:AE$57, $A$44:$A$57,$A165, $C$44:$C$57, "$ Budgeted")</f>
        <v>#DIV/0!</v>
      </c>
      <c r="AF165" s="16" t="e">
        <f aca="false">SUMIFS(AF$44:AF$57, $A$44:$A$57,$A165, $C$44:$C$57, "$ Actual")/SUMIFS(AF$44:AF$57, $A$44:$A$57,$A165, $C$44:$C$57, "$ Budgeted")</f>
        <v>#DIV/0!</v>
      </c>
      <c r="AG165" s="16" t="e">
        <f aca="false">SUMIFS(AG$44:AG$57, $A$44:$A$57,$A165, $C$44:$C$57, "$ Actual")/SUMIFS(AG$44:AG$57, $A$44:$A$57,$A165, $C$44:$C$57, "$ Budgeted")</f>
        <v>#DIV/0!</v>
      </c>
      <c r="AH165" s="16" t="e">
        <f aca="false">SUMIFS(AH$44:AH$57, $A$44:$A$57,$A165, $C$44:$C$57, "$ Actual")/SUMIFS(AH$44:AH$57, $A$44:$A$57,$A165, $C$44:$C$57, "$ Budgeted")</f>
        <v>#DIV/0!</v>
      </c>
      <c r="AI165" s="16" t="e">
        <f aca="false">SUMIFS(AI$44:AI$57, $A$44:$A$57,$A165, $C$44:$C$57, "$ Actual")/SUMIFS(AI$44:AI$57, $A$44:$A$57,$A165, $C$44:$C$57, "$ Budgeted")</f>
        <v>#DIV/0!</v>
      </c>
      <c r="AJ165" s="16" t="e">
        <f aca="false">SUMIFS(AJ$44:AJ$57, $A$44:$A$57,$A165, $C$44:$C$57, "$ Actual")/SUMIFS(AJ$44:AJ$57, $A$44:$A$57,$A165, $C$44:$C$57, "$ Budgeted")</f>
        <v>#DIV/0!</v>
      </c>
      <c r="AK165" s="16"/>
      <c r="AL165" s="16" t="n">
        <f aca="false">SUMIFS(AL$44:AL$57, $A$44:$A$57,$A165, $C$44:$C$57, "$ Actual")/SUMIFS(AL$44:AL$57, $A$44:$A$57,$A165, $C$44:$C$57, "$ Budgeted")</f>
        <v>1.12775461584276</v>
      </c>
      <c r="AM165" s="16" t="e">
        <f aca="false">SUMIFS(AM$44:AM$57, $A$44:$A$57,$A165, $C$44:$C$57, "$ Actual")/SUMIFS(AM$44:AM$57, $A$44:$A$57,$A165, $C$44:$C$57, "$ Budgeted")</f>
        <v>#DIV/0!</v>
      </c>
      <c r="AN165" s="16" t="e">
        <f aca="false">SUMIFS(AN$44:AN$57, $A$44:$A$57,$A165, $C$44:$C$57, "$ Actual")/SUMIFS(AN$44:AN$57, $A$44:$A$57,$A165, $C$44:$C$57, "$ Budgeted")</f>
        <v>#DIV/0!</v>
      </c>
      <c r="AO165" s="16" t="e">
        <f aca="false">SUMIFS(AO$44:AO$57, $A$44:$A$57,$A165, $C$44:$C$57, "$ Actual")/SUMIFS(AO$44:AO$57, $A$44:$A$57,$A165, $C$44:$C$57, "$ Budgeted")</f>
        <v>#DIV/0!</v>
      </c>
      <c r="AP165" s="16" t="n">
        <f aca="false">SUMIFS(AP$44:AP$57, $A$44:$A$57,$A165, $C$44:$C$57, "$ Actual")/SUMIFS(AP$44:AP$57, $A$44:$A$57,$A165, $C$44:$C$57, "$ Budgeted")</f>
        <v>0.91491341991342</v>
      </c>
      <c r="AQ165" s="16" t="e">
        <f aca="false">SUMIFS(AQ$44:AQ$57, $A$44:$A$57,$A165, $C$44:$C$57, "$ Actual")/SUMIFS(AQ$44:AQ$57, $A$44:$A$57,$A165, $C$44:$C$57, "$ Budgeted")</f>
        <v>#DIV/0!</v>
      </c>
      <c r="AR165" s="16" t="e">
        <f aca="false">SUMIFS(AR$44:AR$57, $A$44:$A$57,$A165, $C$44:$C$57, "$ Actual")/SUMIFS(AR$44:AR$57, $A$44:$A$57,$A165, $C$44:$C$57, "$ Budgeted")</f>
        <v>#DIV/0!</v>
      </c>
      <c r="AS165" s="16" t="e">
        <f aca="false">SUMIFS(AS$44:AS$57, $A$44:$A$57,$A165, $C$44:$C$57, "$ Actual")/SUMIFS(AS$44:AS$57, $A$44:$A$57,$A165, $C$44:$C$57, "$ Budgeted")</f>
        <v>#DIV/0!</v>
      </c>
      <c r="AT165" s="16" t="e">
        <f aca="false">SUMIFS(AT$44:AT$57, $A$44:$A$57,$A165, $C$44:$C$57, "$ Actual")/SUMIFS(AT$44:AT$57, $A$44:$A$57,$A165, $C$44:$C$57, "$ Budgeted")</f>
        <v>#DIV/0!</v>
      </c>
      <c r="AU165" s="16" t="e">
        <f aca="false">SUMIFS(AU$44:AU$57, $A$44:$A$57,$A165, $C$44:$C$57, "$ Actual")/SUMIFS(AU$44:AU$57, $A$44:$A$57,$A165, $C$44:$C$57, "$ Budgeted")</f>
        <v>#DIV/0!</v>
      </c>
      <c r="AV165" s="16"/>
      <c r="AW165" s="16"/>
      <c r="AX165" s="16"/>
      <c r="AY165" s="16" t="n">
        <f aca="false">SUMIFS(AY$44:AY$57, $A$44:$A$57,$A165, $C$44:$C$57, "$ Actual")/SUMIFS(AY$44:AY$57, $A$44:$A$57,$A165, $C$44:$C$57, "$ Budgeted")</f>
        <v>0.947641725432732</v>
      </c>
      <c r="AZ165" s="16" t="n">
        <f aca="false">SUMIFS(AZ$44:AZ$57, $A$44:$A$57,$A165, $C$44:$C$57, "$ Actual")/SUMIFS(AZ$44:AZ$57, $A$44:$A$57,$A165, $C$44:$C$57, "$ Budgeted")</f>
        <v>0.433093006488825</v>
      </c>
      <c r="BA165" s="16" t="n">
        <f aca="false">SUMIFS(BA$44:BA$57, $A$44:$A$57,$A165, $C$44:$C$57, "$ Actual")/SUMIFS(BA$44:BA$57, $A$44:$A$57,$A165, $C$44:$C$57, "$ Budgeted")</f>
        <v>0.612001964132643</v>
      </c>
      <c r="BB165" s="16" t="n">
        <f aca="false">SUMIFS(BB$44:BB$57, $A$44:$A$57,$A165, $C$44:$C$57, "$ Actual")/SUMIFS(BB$44:BB$57, $A$44:$A$57,$A165, $C$44:$C$57, "$ Budgeted")</f>
        <v>1.05944409183263</v>
      </c>
      <c r="BC165" s="16" t="e">
        <f aca="false">SUMIFS(BC$44:BC$57, $A$44:$A$57,$A165, $C$44:$C$57, "$ Actual")/SUMIFS(BC$44:BC$57, $A$44:$A$57,$A165, $C$44:$C$57, "$ Budgeted")</f>
        <v>#DIV/0!</v>
      </c>
      <c r="BD165" s="16"/>
      <c r="BE165" s="16" t="n">
        <f aca="false">SUMIFS(BE$44:BE$57, $A$44:$A$57,$A165, $C$44:$C$57, "$ Actual")/SUMIFS(BE$44:BE$57, $A$44:$A$57,$A165, $C$44:$C$57, "$ Budgeted")</f>
        <v>0.651115321361412</v>
      </c>
    </row>
    <row r="166" customFormat="false" ht="12.75" hidden="false" customHeight="true" outlineLevel="0" collapsed="false">
      <c r="A166" s="1" t="s">
        <v>58</v>
      </c>
      <c r="B166" s="1" t="n">
        <v>2024</v>
      </c>
      <c r="C166" s="1" t="s">
        <v>80</v>
      </c>
      <c r="D166" s="16" t="e">
        <f aca="false">SUMIFS(D$44:D$57, $A$44:$A$57,$A166, $C$44:$C$57, "$ Actual")/SUMIFS(D$44:D$57, $A$44:$A$57,$A166, $C$44:$C$57, "$ Budgeted")</f>
        <v>#DIV/0!</v>
      </c>
      <c r="E166" s="16" t="e">
        <f aca="false">SUMIFS(E$44:E$57, $A$44:$A$57,$A166, $C$44:$C$57, "$ Actual")/SUMIFS(E$44:E$57, $A$44:$A$57,$A166, $C$44:$C$57, "$ Budgeted")</f>
        <v>#DIV/0!</v>
      </c>
      <c r="F166" s="16" t="e">
        <f aca="false">SUMIFS(F$44:F$57, $A$44:$A$57,$A166, $C$44:$C$57, "$ Actual")/SUMIFS(F$44:F$57, $A$44:$A$57,$A166, $C$44:$C$57, "$ Budgeted")</f>
        <v>#DIV/0!</v>
      </c>
      <c r="G166" s="16" t="e">
        <f aca="false">SUMIFS(G$44:G$57, $A$44:$A$57,$A166, $C$44:$C$57, "$ Actual")/SUMIFS(G$44:G$57, $A$44:$A$57,$A166, $C$44:$C$57, "$ Budgeted")</f>
        <v>#DIV/0!</v>
      </c>
      <c r="H166" s="16" t="e">
        <f aca="false">SUMIFS(H$44:H$57, $A$44:$A$57,$A166, $C$44:$C$57, "$ Actual")/SUMIFS(H$44:H$57, $A$44:$A$57,$A166, $C$44:$C$57, "$ Budgeted")</f>
        <v>#DIV/0!</v>
      </c>
      <c r="I166" s="16" t="e">
        <f aca="false">SUMIFS(I$44:I$57, $A$44:$A$57,$A166, $C$44:$C$57, "$ Actual")/SUMIFS(I$44:I$57, $A$44:$A$57,$A166, $C$44:$C$57, "$ Budgeted")</f>
        <v>#DIV/0!</v>
      </c>
      <c r="J166" s="16" t="n">
        <f aca="false">SUMIFS(J$44:J$57, $A$44:$A$57,$A166, $C$44:$C$57, "$ Actual")/SUMIFS(J$44:J$57, $A$44:$A$57,$A166, $C$44:$C$57, "$ Budgeted")</f>
        <v>0.111668327864446</v>
      </c>
      <c r="K166" s="16" t="n">
        <f aca="false">SUMIFS(K$44:K$57, $A$44:$A$57,$A166, $C$44:$C$57, "$ Actual")/SUMIFS(K$44:K$57, $A$44:$A$57,$A166, $C$44:$C$57, "$ Budgeted")</f>
        <v>0</v>
      </c>
      <c r="L166" s="16" t="n">
        <f aca="false">SUMIFS(L$44:L$57, $A$44:$A$57,$A166, $C$44:$C$57, "$ Actual")/SUMIFS(L$44:L$57, $A$44:$A$57,$A166, $C$44:$C$57, "$ Budgeted")</f>
        <v>0</v>
      </c>
      <c r="M166" s="16" t="e">
        <f aca="false">SUMIFS(M$44:M$57, $A$44:$A$57,$A166, $C$44:$C$57, "$ Actual")/SUMIFS(M$44:M$57, $A$44:$A$57,$A166, $C$44:$C$57, "$ Budgeted")</f>
        <v>#DIV/0!</v>
      </c>
      <c r="N166" s="16"/>
      <c r="O166" s="16" t="e">
        <f aca="false">SUMIFS(O$44:O$57, $A$44:$A$57,$A166, $C$44:$C$57, "$ Actual")/SUMIFS(O$44:O$57, $A$44:$A$57,$A166, $C$44:$C$57, "$ Budgeted")</f>
        <v>#DIV/0!</v>
      </c>
      <c r="P166" s="16" t="n">
        <f aca="false">SUMIFS(P$44:P$57, $A$44:$A$57,$A166, $C$44:$C$57, "$ Actual")/SUMIFS(P$44:P$57, $A$44:$A$57,$A166, $C$44:$C$57, "$ Budgeted")</f>
        <v>0</v>
      </c>
      <c r="Q166" s="16" t="e">
        <f aca="false">SUMIFS(Q$44:Q$57, $A$44:$A$57,$A166, $C$44:$C$57, "$ Actual")/SUMIFS(Q$44:Q$57, $A$44:$A$57,$A166, $C$44:$C$57, "$ Budgeted")</f>
        <v>#DIV/0!</v>
      </c>
      <c r="R166" s="16" t="e">
        <f aca="false">SUMIFS(R$44:R$57, $A$44:$A$57,$A166, $C$44:$C$57, "$ Actual")/SUMIFS(R$44:R$57, $A$44:$A$57,$A166, $C$44:$C$57, "$ Budgeted")</f>
        <v>#DIV/0!</v>
      </c>
      <c r="S166" s="16" t="e">
        <f aca="false">SUMIFS(S$44:S$57, $A$44:$A$57,$A166, $C$44:$C$57, "$ Actual")/SUMIFS(S$44:S$57, $A$44:$A$57,$A166, $C$44:$C$57, "$ Budgeted")</f>
        <v>#DIV/0!</v>
      </c>
      <c r="T166" s="16" t="n">
        <f aca="false">SUMIFS(T$44:T$57, $A$44:$A$57,$A166, $C$44:$C$57, "$ Actual")/SUMIFS(T$44:T$57, $A$44:$A$57,$A166, $C$44:$C$57, "$ Budgeted")</f>
        <v>0</v>
      </c>
      <c r="U166" s="16" t="n">
        <f aca="false">SUMIFS(U$44:U$57, $A$44:$A$57,$A166, $C$44:$C$57, "$ Actual")/SUMIFS(U$44:U$57, $A$44:$A$57,$A166, $C$44:$C$57, "$ Budgeted")</f>
        <v>0</v>
      </c>
      <c r="V166" s="16" t="n">
        <f aca="false">SUMIFS(V$44:V$57, $A$44:$A$57,$A166, $C$44:$C$57, "$ Actual")/SUMIFS(V$44:V$57, $A$44:$A$57,$A166, $C$44:$C$57, "$ Budgeted")</f>
        <v>0</v>
      </c>
      <c r="W166" s="16" t="n">
        <f aca="false">SUMIFS(W$44:W$57, $A$44:$A$57,$A166, $C$44:$C$57, "$ Actual")/SUMIFS(W$44:W$57, $A$44:$A$57,$A166, $C$44:$C$57, "$ Budgeted")</f>
        <v>0.30727498740131</v>
      </c>
      <c r="X166" s="16" t="e">
        <f aca="false">SUMIFS(X$44:X$57, $A$44:$A$57,$A166, $C$44:$C$57, "$ Actual")/SUMIFS(X$44:X$57, $A$44:$A$57,$A166, $C$44:$C$57, "$ Budgeted")</f>
        <v>#DIV/0!</v>
      </c>
      <c r="Y166" s="16"/>
      <c r="Z166" s="16" t="e">
        <f aca="false">SUMIFS(Z$44:Z$57, $A$44:$A$57,$A166, $C$44:$C$57, "Actual")/SUMIFS(Z$44:Z$57, $A$44:$A$57,$A166, $C$44:$C$57, "Budgeted")</f>
        <v>#DIV/0!</v>
      </c>
      <c r="AA166" s="16" t="e">
        <f aca="false">SUMIFS(AA$44:AA$57, $A$44:$A$57,$A166, $C$44:$C$57, "$ Actual")/SUMIFS(AA$44:AA$57, $A$44:$A$57,$A166, $C$44:$C$57, "$ Budgeted")</f>
        <v>#DIV/0!</v>
      </c>
      <c r="AB166" s="16" t="e">
        <f aca="false">SUMIFS(AB$44:AB$57, $A$44:$A$57,$A166, $C$44:$C$57, "$ Actual")/SUMIFS(AB$44:AB$57, $A$44:$A$57,$A166, $C$44:$C$57, "$ Budgeted")</f>
        <v>#DIV/0!</v>
      </c>
      <c r="AC166" s="16" t="e">
        <f aca="false">SUMIFS(AC$44:AC$57, $A$44:$A$57,$A166, $C$44:$C$57, "Actual")/SUMIFS(AC$44:AC$57, $A$44:$A$57,$A166, $C$44:$C$57, "Budgeted")</f>
        <v>#DIV/0!</v>
      </c>
      <c r="AD166" s="16" t="e">
        <f aca="false">SUMIFS(AD$44:AD$57, $A$44:$A$57,$A166, $C$44:$C$57, "$ Actual")/SUMIFS(AD$44:AD$57, $A$44:$A$57,$A166, $C$44:$C$57, "$ Budgeted")</f>
        <v>#DIV/0!</v>
      </c>
      <c r="AE166" s="16" t="e">
        <f aca="false">SUMIFS(AE$44:AE$57, $A$44:$A$57,$A166, $C$44:$C$57, "$ Actual")/SUMIFS(AE$44:AE$57, $A$44:$A$57,$A166, $C$44:$C$57, "$ Budgeted")</f>
        <v>#DIV/0!</v>
      </c>
      <c r="AF166" s="16" t="e">
        <f aca="false">SUMIFS(AF$44:AF$57, $A$44:$A$57,$A166, $C$44:$C$57, "$ Actual")/SUMIFS(AF$44:AF$57, $A$44:$A$57,$A166, $C$44:$C$57, "$ Budgeted")</f>
        <v>#DIV/0!</v>
      </c>
      <c r="AG166" s="16" t="e">
        <f aca="false">SUMIFS(AG$44:AG$57, $A$44:$A$57,$A166, $C$44:$C$57, "$ Actual")/SUMIFS(AG$44:AG$57, $A$44:$A$57,$A166, $C$44:$C$57, "$ Budgeted")</f>
        <v>#DIV/0!</v>
      </c>
      <c r="AH166" s="16" t="n">
        <f aca="false">SUMIFS(AH$44:AH$57, $A$44:$A$57,$A166, $C$44:$C$57, "$ Actual")/SUMIFS(AH$44:AH$57, $A$44:$A$57,$A166, $C$44:$C$57, "$ Budgeted")</f>
        <v>0</v>
      </c>
      <c r="AI166" s="16" t="e">
        <f aca="false">SUMIFS(AI$44:AI$57, $A$44:$A$57,$A166, $C$44:$C$57, "$ Actual")/SUMIFS(AI$44:AI$57, $A$44:$A$57,$A166, $C$44:$C$57, "$ Budgeted")</f>
        <v>#DIV/0!</v>
      </c>
      <c r="AJ166" s="16" t="e">
        <f aca="false">SUMIFS(AJ$44:AJ$57, $A$44:$A$57,$A166, $C$44:$C$57, "$ Actual")/SUMIFS(AJ$44:AJ$57, $A$44:$A$57,$A166, $C$44:$C$57, "$ Budgeted")</f>
        <v>#DIV/0!</v>
      </c>
      <c r="AK166" s="16"/>
      <c r="AL166" s="16" t="e">
        <f aca="false">SUMIFS(AL$44:AL$57, $A$44:$A$57,$A166, $C$44:$C$57, "$ Actual")/SUMIFS(AL$44:AL$57, $A$44:$A$57,$A166, $C$44:$C$57, "$ Budgeted")</f>
        <v>#DIV/0!</v>
      </c>
      <c r="AM166" s="16" t="e">
        <f aca="false">SUMIFS(AM$44:AM$57, $A$44:$A$57,$A166, $C$44:$C$57, "$ Actual")/SUMIFS(AM$44:AM$57, $A$44:$A$57,$A166, $C$44:$C$57, "$ Budgeted")</f>
        <v>#DIV/0!</v>
      </c>
      <c r="AN166" s="16" t="e">
        <f aca="false">SUMIFS(AN$44:AN$57, $A$44:$A$57,$A166, $C$44:$C$57, "$ Actual")/SUMIFS(AN$44:AN$57, $A$44:$A$57,$A166, $C$44:$C$57, "$ Budgeted")</f>
        <v>#DIV/0!</v>
      </c>
      <c r="AO166" s="16" t="e">
        <f aca="false">SUMIFS(AO$44:AO$57, $A$44:$A$57,$A166, $C$44:$C$57, "$ Actual")/SUMIFS(AO$44:AO$57, $A$44:$A$57,$A166, $C$44:$C$57, "$ Budgeted")</f>
        <v>#DIV/0!</v>
      </c>
      <c r="AP166" s="16" t="e">
        <f aca="false">SUMIFS(AP$44:AP$57, $A$44:$A$57,$A166, $C$44:$C$57, "$ Actual")/SUMIFS(AP$44:AP$57, $A$44:$A$57,$A166, $C$44:$C$57, "$ Budgeted")</f>
        <v>#DIV/0!</v>
      </c>
      <c r="AQ166" s="16" t="e">
        <f aca="false">SUMIFS(AQ$44:AQ$57, $A$44:$A$57,$A166, $C$44:$C$57, "$ Actual")/SUMIFS(AQ$44:AQ$57, $A$44:$A$57,$A166, $C$44:$C$57, "$ Budgeted")</f>
        <v>#DIV/0!</v>
      </c>
      <c r="AR166" s="16" t="e">
        <f aca="false">SUMIFS(AR$44:AR$57, $A$44:$A$57,$A166, $C$44:$C$57, "$ Actual")/SUMIFS(AR$44:AR$57, $A$44:$A$57,$A166, $C$44:$C$57, "$ Budgeted")</f>
        <v>#DIV/0!</v>
      </c>
      <c r="AS166" s="16" t="n">
        <f aca="false">SUMIFS(AS$44:AS$57, $A$44:$A$57,$A166, $C$44:$C$57, "$ Actual")/SUMIFS(AS$44:AS$57, $A$44:$A$57,$A166, $C$44:$C$57, "$ Budgeted")</f>
        <v>1.36147369269197</v>
      </c>
      <c r="AT166" s="16" t="e">
        <f aca="false">SUMIFS(AT$44:AT$57, $A$44:$A$57,$A166, $C$44:$C$57, "$ Actual")/SUMIFS(AT$44:AT$57, $A$44:$A$57,$A166, $C$44:$C$57, "$ Budgeted")</f>
        <v>#DIV/0!</v>
      </c>
      <c r="AU166" s="16" t="e">
        <f aca="false">SUMIFS(AU$44:AU$57, $A$44:$A$57,$A166, $C$44:$C$57, "$ Actual")/SUMIFS(AU$44:AU$57, $A$44:$A$57,$A166, $C$44:$C$57, "$ Budgeted")</f>
        <v>#DIV/0!</v>
      </c>
      <c r="AV166" s="16"/>
      <c r="AW166" s="16"/>
      <c r="AX166" s="16"/>
      <c r="AY166" s="16" t="n">
        <f aca="false">SUMIFS(AY$44:AY$57, $A$44:$A$57,$A166, $C$44:$C$57, "$ Actual")/SUMIFS(AY$44:AY$57, $A$44:$A$57,$A166, $C$44:$C$57, "$ Budgeted")</f>
        <v>1.36147369269197</v>
      </c>
      <c r="AZ166" s="16" t="n">
        <f aca="false">SUMIFS(AZ$44:AZ$57, $A$44:$A$57,$A166, $C$44:$C$57, "$ Actual")/SUMIFS(AZ$44:AZ$57, $A$44:$A$57,$A166, $C$44:$C$57, "$ Budgeted")</f>
        <v>0.0743972829233644</v>
      </c>
      <c r="BA166" s="16" t="n">
        <f aca="false">SUMIFS(BA$44:BA$57, $A$44:$A$57,$A166, $C$44:$C$57, "$ Actual")/SUMIFS(BA$44:BA$57, $A$44:$A$57,$A166, $C$44:$C$57, "$ Budgeted")</f>
        <v>0.13618227916858</v>
      </c>
      <c r="BB166" s="16" t="e">
        <f aca="false">SUMIFS(BB$44:BB$57, $A$44:$A$57,$A166, $C$44:$C$57, "$ Actual")/SUMIFS(BB$44:BB$57, $A$44:$A$57,$A166, $C$44:$C$57, "$ Budgeted")</f>
        <v>#DIV/0!</v>
      </c>
      <c r="BC166" s="16" t="n">
        <f aca="false">SUMIFS(BC$44:BC$57, $A$44:$A$57,$A166, $C$44:$C$57, "$ Actual")/SUMIFS(BC$44:BC$57, $A$44:$A$57,$A166, $C$44:$C$57, "$ Budgeted")</f>
        <v>0</v>
      </c>
      <c r="BD166" s="16"/>
      <c r="BE166" s="16" t="n">
        <f aca="false">SUMIFS(BE$44:BE$57, $A$44:$A$57,$A166, $C$44:$C$57, "$ Actual")/SUMIFS(BE$44:BE$57, $A$44:$A$57,$A166, $C$44:$C$57, "$ Budgeted")</f>
        <v>0.127538312605508</v>
      </c>
    </row>
    <row r="167" customFormat="false" ht="12.75" hidden="false" customHeight="true" outlineLevel="0" collapsed="false">
      <c r="A167" s="1" t="s">
        <v>59</v>
      </c>
      <c r="B167" s="1" t="n">
        <v>2024</v>
      </c>
      <c r="C167" s="1" t="s">
        <v>80</v>
      </c>
      <c r="D167" s="16" t="n">
        <f aca="false">SUMIFS(D$44:D$57, $A$44:$A$57,$A167, $C$44:$C$57, "$ Actual")/SUMIFS(D$44:D$57, $A$44:$A$57,$A167, $C$44:$C$57, "$ Budgeted")</f>
        <v>1.27351480293981</v>
      </c>
      <c r="E167" s="16" t="n">
        <f aca="false">SUMIFS(E$44:E$57, $A$44:$A$57,$A167, $C$44:$C$57, "$ Actual")/SUMIFS(E$44:E$57, $A$44:$A$57,$A167, $C$44:$C$57, "$ Budgeted")</f>
        <v>1.83401602886354</v>
      </c>
      <c r="F167" s="16" t="n">
        <f aca="false">SUMIFS(F$44:F$57, $A$44:$A$57,$A167, $C$44:$C$57, "$ Actual")/SUMIFS(F$44:F$57, $A$44:$A$57,$A167, $C$44:$C$57, "$ Budgeted")</f>
        <v>2.17123689200749</v>
      </c>
      <c r="G167" s="16" t="n">
        <f aca="false">SUMIFS(G$44:G$57, $A$44:$A$57,$A167, $C$44:$C$57, "$ Actual")/SUMIFS(G$44:G$57, $A$44:$A$57,$A167, $C$44:$C$57, "$ Budgeted")</f>
        <v>1.41747210205646</v>
      </c>
      <c r="H167" s="16" t="n">
        <f aca="false">SUMIFS(H$44:H$57, $A$44:$A$57,$A167, $C$44:$C$57, "$ Actual")/SUMIFS(H$44:H$57, $A$44:$A$57,$A167, $C$44:$C$57, "$ Budgeted")</f>
        <v>1.88663351954631</v>
      </c>
      <c r="I167" s="16" t="n">
        <f aca="false">SUMIFS(I$44:I$57, $A$44:$A$57,$A167, $C$44:$C$57, "$ Actual")/SUMIFS(I$44:I$57, $A$44:$A$57,$A167, $C$44:$C$57, "$ Budgeted")</f>
        <v>1.10325155967256</v>
      </c>
      <c r="J167" s="16" t="n">
        <f aca="false">SUMIFS(J$44:J$57, $A$44:$A$57,$A167, $C$44:$C$57, "$ Actual")/SUMIFS(J$44:J$57, $A$44:$A$57,$A167, $C$44:$C$57, "$ Budgeted")</f>
        <v>1.16698759019121</v>
      </c>
      <c r="K167" s="16" t="n">
        <f aca="false">SUMIFS(K$44:K$57, $A$44:$A$57,$A167, $C$44:$C$57, "$ Actual")/SUMIFS(K$44:K$57, $A$44:$A$57,$A167, $C$44:$C$57, "$ Budgeted")</f>
        <v>0.387691627154726</v>
      </c>
      <c r="L167" s="16" t="n">
        <f aca="false">SUMIFS(L$44:L$57, $A$44:$A$57,$A167, $C$44:$C$57, "$ Actual")/SUMIFS(L$44:L$57, $A$44:$A$57,$A167, $C$44:$C$57, "$ Budgeted")</f>
        <v>0.508656118712485</v>
      </c>
      <c r="M167" s="16" t="e">
        <f aca="false">SUMIFS(M$44:M$57, $A$44:$A$57,$A167, $C$44:$C$57, "$ Actual")/SUMIFS(M$44:M$57, $A$44:$A$57,$A167, $C$44:$C$57, "$ Budgeted")</f>
        <v>#DIV/0!</v>
      </c>
      <c r="N167" s="16"/>
      <c r="O167" s="16" t="n">
        <f aca="false">SUMIFS(O$44:O$57, $A$44:$A$57,$A167, $C$44:$C$57, "$ Actual")/SUMIFS(O$44:O$57, $A$44:$A$57,$A167, $C$44:$C$57, "$ Budgeted")</f>
        <v>0.91217375099769</v>
      </c>
      <c r="P167" s="16" t="n">
        <f aca="false">SUMIFS(P$44:P$57, $A$44:$A$57,$A167, $C$44:$C$57, "$ Actual")/SUMIFS(P$44:P$57, $A$44:$A$57,$A167, $C$44:$C$57, "$ Budgeted")</f>
        <v>1.44029476308974</v>
      </c>
      <c r="Q167" s="16" t="n">
        <f aca="false">SUMIFS(Q$44:Q$57, $A$44:$A$57,$A167, $C$44:$C$57, "$ Actual")/SUMIFS(Q$44:Q$57, $A$44:$A$57,$A167, $C$44:$C$57, "$ Budgeted")</f>
        <v>1.48496282629436</v>
      </c>
      <c r="R167" s="16" t="n">
        <f aca="false">SUMIFS(R$44:R$57, $A$44:$A$57,$A167, $C$44:$C$57, "$ Actual")/SUMIFS(R$44:R$57, $A$44:$A$57,$A167, $C$44:$C$57, "$ Budgeted")</f>
        <v>2.32787342636822</v>
      </c>
      <c r="S167" s="16" t="n">
        <f aca="false">SUMIFS(S$44:S$57, $A$44:$A$57,$A167, $C$44:$C$57, "$ Actual")/SUMIFS(S$44:S$57, $A$44:$A$57,$A167, $C$44:$C$57, "$ Budgeted")</f>
        <v>1.64657454580701</v>
      </c>
      <c r="T167" s="16" t="n">
        <f aca="false">SUMIFS(T$44:T$57, $A$44:$A$57,$A167, $C$44:$C$57, "$ Actual")/SUMIFS(T$44:T$57, $A$44:$A$57,$A167, $C$44:$C$57, "$ Budgeted")</f>
        <v>2.32176466461551</v>
      </c>
      <c r="U167" s="16" t="n">
        <f aca="false">SUMIFS(U$44:U$57, $A$44:$A$57,$A167, $C$44:$C$57, "$ Actual")/SUMIFS(U$44:U$57, $A$44:$A$57,$A167, $C$44:$C$57, "$ Budgeted")</f>
        <v>1.35920506507211</v>
      </c>
      <c r="V167" s="16" t="n">
        <f aca="false">SUMIFS(V$44:V$57, $A$44:$A$57,$A167, $C$44:$C$57, "$ Actual")/SUMIFS(V$44:V$57, $A$44:$A$57,$A167, $C$44:$C$57, "$ Budgeted")</f>
        <v>0.898726861142775</v>
      </c>
      <c r="W167" s="16" t="n">
        <f aca="false">SUMIFS(W$44:W$57, $A$44:$A$57,$A167, $C$44:$C$57, "$ Actual")/SUMIFS(W$44:W$57, $A$44:$A$57,$A167, $C$44:$C$57, "$ Budgeted")</f>
        <v>0.618125257802832</v>
      </c>
      <c r="X167" s="16" t="e">
        <f aca="false">SUMIFS(X$44:X$57, $A$44:$A$57,$A167, $C$44:$C$57, "$ Actual")/SUMIFS(X$44:X$57, $A$44:$A$57,$A167, $C$44:$C$57, "$ Budgeted")</f>
        <v>#DIV/0!</v>
      </c>
      <c r="Y167" s="16"/>
      <c r="Z167" s="16" t="e">
        <f aca="false">SUMIFS(Z$44:Z$57, $A$44:$A$57,$A167, $C$44:$C$57, "Actual")/SUMIFS(Z$44:Z$57, $A$44:$A$57,$A167, $C$44:$C$57, "Budgeted")</f>
        <v>#DIV/0!</v>
      </c>
      <c r="AA167" s="16" t="n">
        <f aca="false">SUMIFS(AA$44:AA$57, $A$44:$A$57,$A167, $C$44:$C$57, "$ Actual")/SUMIFS(AA$44:AA$57, $A$44:$A$57,$A167, $C$44:$C$57, "$ Budgeted")</f>
        <v>0.732292081462871</v>
      </c>
      <c r="AB167" s="16" t="n">
        <f aca="false">SUMIFS(AB$44:AB$57, $A$44:$A$57,$A167, $C$44:$C$57, "$ Actual")/SUMIFS(AB$44:AB$57, $A$44:$A$57,$A167, $C$44:$C$57, "$ Budgeted")</f>
        <v>0.991352609760138</v>
      </c>
      <c r="AC167" s="16" t="e">
        <f aca="false">SUMIFS(AC$44:AC$57, $A$44:$A$57,$A167, $C$44:$C$57, "Actual")/SUMIFS(AC$44:AC$57, $A$44:$A$57,$A167, $C$44:$C$57, "Budgeted")</f>
        <v>#DIV/0!</v>
      </c>
      <c r="AD167" s="16" t="n">
        <f aca="false">SUMIFS(AD$44:AD$57, $A$44:$A$57,$A167, $C$44:$C$57, "$ Actual")/SUMIFS(AD$44:AD$57, $A$44:$A$57,$A167, $C$44:$C$57, "$ Budgeted")</f>
        <v>1.68024444063273</v>
      </c>
      <c r="AE167" s="16" t="n">
        <f aca="false">SUMIFS(AE$44:AE$57, $A$44:$A$57,$A167, $C$44:$C$57, "$ Actual")/SUMIFS(AE$44:AE$57, $A$44:$A$57,$A167, $C$44:$C$57, "$ Budgeted")</f>
        <v>1.85090041475271</v>
      </c>
      <c r="AF167" s="16" t="n">
        <f aca="false">SUMIFS(AF$44:AF$57, $A$44:$A$57,$A167, $C$44:$C$57, "$ Actual")/SUMIFS(AF$44:AF$57, $A$44:$A$57,$A167, $C$44:$C$57, "$ Budgeted")</f>
        <v>1.66448106631606</v>
      </c>
      <c r="AG167" s="16" t="n">
        <f aca="false">SUMIFS(AG$44:AG$57, $A$44:$A$57,$A167, $C$44:$C$57, "$ Actual")/SUMIFS(AG$44:AG$57, $A$44:$A$57,$A167, $C$44:$C$57, "$ Budgeted")</f>
        <v>1.11558648221813</v>
      </c>
      <c r="AH167" s="16" t="n">
        <f aca="false">SUMIFS(AH$44:AH$57, $A$44:$A$57,$A167, $C$44:$C$57, "$ Actual")/SUMIFS(AH$44:AH$57, $A$44:$A$57,$A167, $C$44:$C$57, "$ Budgeted")</f>
        <v>1.2132773431035</v>
      </c>
      <c r="AI167" s="16" t="n">
        <f aca="false">SUMIFS(AI$44:AI$57, $A$44:$A$57,$A167, $C$44:$C$57, "$ Actual")/SUMIFS(AI$44:AI$57, $A$44:$A$57,$A167, $C$44:$C$57, "$ Budgeted")</f>
        <v>1.19910668462024</v>
      </c>
      <c r="AJ167" s="16" t="e">
        <f aca="false">SUMIFS(AJ$44:AJ$57, $A$44:$A$57,$A167, $C$44:$C$57, "$ Actual")/SUMIFS(AJ$44:AJ$57, $A$44:$A$57,$A167, $C$44:$C$57, "$ Budgeted")</f>
        <v>#DIV/0!</v>
      </c>
      <c r="AK167" s="16"/>
      <c r="AL167" s="16" t="n">
        <f aca="false">SUMIFS(AL$44:AL$57, $A$44:$A$57,$A167, $C$44:$C$57, "$ Actual")/SUMIFS(AL$44:AL$57, $A$44:$A$57,$A167, $C$44:$C$57, "$ Budgeted")</f>
        <v>1.19540093102958</v>
      </c>
      <c r="AM167" s="16" t="n">
        <f aca="false">SUMIFS(AM$44:AM$57, $A$44:$A$57,$A167, $C$44:$C$57, "$ Actual")/SUMIFS(AM$44:AM$57, $A$44:$A$57,$A167, $C$44:$C$57, "$ Budgeted")</f>
        <v>1.84385956688853</v>
      </c>
      <c r="AN167" s="16" t="n">
        <f aca="false">SUMIFS(AN$44:AN$57, $A$44:$A$57,$A167, $C$44:$C$57, "$ Actual")/SUMIFS(AN$44:AN$57, $A$44:$A$57,$A167, $C$44:$C$57, "$ Budgeted")</f>
        <v>1.43545021341255</v>
      </c>
      <c r="AO167" s="16" t="n">
        <f aca="false">SUMIFS(AO$44:AO$57, $A$44:$A$57,$A167, $C$44:$C$57, "$ Actual")/SUMIFS(AO$44:AO$57, $A$44:$A$57,$A167, $C$44:$C$57, "$ Budgeted")</f>
        <v>1.64524809480254</v>
      </c>
      <c r="AP167" s="16" t="n">
        <f aca="false">SUMIFS(AP$44:AP$57, $A$44:$A$57,$A167, $C$44:$C$57, "$ Actual")/SUMIFS(AP$44:AP$57, $A$44:$A$57,$A167, $C$44:$C$57, "$ Budgeted")</f>
        <v>1.42872559435206</v>
      </c>
      <c r="AQ167" s="16" t="n">
        <f aca="false">SUMIFS(AQ$44:AQ$57, $A$44:$A$57,$A167, $C$44:$C$57, "$ Actual")/SUMIFS(AQ$44:AQ$57, $A$44:$A$57,$A167, $C$44:$C$57, "$ Budgeted")</f>
        <v>1.508778435107</v>
      </c>
      <c r="AR167" s="16" t="n">
        <f aca="false">SUMIFS(AR$44:AR$57, $A$44:$A$57,$A167, $C$44:$C$57, "$ Actual")/SUMIFS(AR$44:AR$57, $A$44:$A$57,$A167, $C$44:$C$57, "$ Budgeted")</f>
        <v>0.936650020380983</v>
      </c>
      <c r="AS167" s="16" t="n">
        <f aca="false">SUMIFS(AS$44:AS$57, $A$44:$A$57,$A167, $C$44:$C$57, "$ Actual")/SUMIFS(AS$44:AS$57, $A$44:$A$57,$A167, $C$44:$C$57, "$ Budgeted")</f>
        <v>4.47429561216369</v>
      </c>
      <c r="AT167" s="16" t="e">
        <f aca="false">SUMIFS(AT$44:AT$57, $A$44:$A$57,$A167, $C$44:$C$57, "$ Actual")/SUMIFS(AT$44:AT$57, $A$44:$A$57,$A167, $C$44:$C$57, "$ Budgeted")</f>
        <v>#DIV/0!</v>
      </c>
      <c r="AU167" s="16" t="e">
        <f aca="false">SUMIFS(AU$44:AU$57, $A$44:$A$57,$A167, $C$44:$C$57, "$ Actual")/SUMIFS(AU$44:AU$57, $A$44:$A$57,$A167, $C$44:$C$57, "$ Budgeted")</f>
        <v>#DIV/0!</v>
      </c>
      <c r="AV167" s="16"/>
      <c r="AW167" s="16"/>
      <c r="AX167" s="16"/>
      <c r="AY167" s="16" t="n">
        <f aca="false">SUMIFS(AY$44:AY$57, $A$44:$A$57,$A167, $C$44:$C$57, "$ Actual")/SUMIFS(AY$44:AY$57, $A$44:$A$57,$A167, $C$44:$C$57, "$ Budgeted")</f>
        <v>1.47495378766978</v>
      </c>
      <c r="AZ167" s="16" t="n">
        <f aca="false">SUMIFS(AZ$44:AZ$57, $A$44:$A$57,$A167, $C$44:$C$57, "$ Actual")/SUMIFS(AZ$44:AZ$57, $A$44:$A$57,$A167, $C$44:$C$57, "$ Budgeted")</f>
        <v>1.31219407741465</v>
      </c>
      <c r="BA167" s="16" t="n">
        <f aca="false">SUMIFS(BA$44:BA$57, $A$44:$A$57,$A167, $C$44:$C$57, "$ Actual")/SUMIFS(BA$44:BA$57, $A$44:$A$57,$A167, $C$44:$C$57, "$ Budgeted")</f>
        <v>1.28982265744694</v>
      </c>
      <c r="BB167" s="16" t="n">
        <f aca="false">SUMIFS(BB$44:BB$57, $A$44:$A$57,$A167, $C$44:$C$57, "$ Actual")/SUMIFS(BB$44:BB$57, $A$44:$A$57,$A167, $C$44:$C$57, "$ Budgeted")</f>
        <v>0.876852735832095</v>
      </c>
      <c r="BC167" s="16" t="n">
        <f aca="false">SUMIFS(BC$44:BC$57, $A$44:$A$57,$A167, $C$44:$C$57, "$ Actual")/SUMIFS(BC$44:BC$57, $A$44:$A$57,$A167, $C$44:$C$57, "$ Budgeted")</f>
        <v>1.40244013863236</v>
      </c>
      <c r="BD167" s="16"/>
      <c r="BE167" s="16" t="n">
        <f aca="false">SUMIFS(BE$44:BE$57, $A$44:$A$57,$A167, $C$44:$C$57, "$ Actual")/SUMIFS(BE$44:BE$57, $A$44:$A$57,$A167, $C$44:$C$57, "$ Budgeted")</f>
        <v>1.35610791829135</v>
      </c>
    </row>
    <row r="168" customFormat="false" ht="12.75" hidden="false" customHeight="true" outlineLevel="0" collapsed="false"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6"/>
      <c r="AY168" s="18"/>
      <c r="AZ168" s="18"/>
      <c r="BA168" s="18"/>
      <c r="BB168" s="18"/>
      <c r="BC168" s="18"/>
      <c r="BD168" s="18"/>
      <c r="BE168" s="18"/>
    </row>
    <row r="169" customFormat="false" ht="12.75" hidden="false" customHeight="true" outlineLevel="0" collapsed="false">
      <c r="A169" s="1" t="s">
        <v>51</v>
      </c>
      <c r="B169" s="1" t="n">
        <v>2024</v>
      </c>
      <c r="C169" s="17" t="s">
        <v>82</v>
      </c>
      <c r="D169" s="16" t="n">
        <f aca="false">SUMIFS(D$44:D$57, $A$44:$A$57,$A169, $C$44:$C$57, "$ Actual")/D$156</f>
        <v>0.239829161194562</v>
      </c>
      <c r="E169" s="16" t="n">
        <f aca="false">SUMIFS(E$44:E$57, $A$44:$A$57,$A169, $C$44:$C$57, "$ Actual")/E$156</f>
        <v>0.218218337434061</v>
      </c>
      <c r="F169" s="16" t="n">
        <f aca="false">SUMIFS(F$44:F$57, $A$44:$A$57,$A169, $C$44:$C$57, "$ Actual")/F$156</f>
        <v>0.293213830892591</v>
      </c>
      <c r="G169" s="16" t="n">
        <f aca="false">SUMIFS(G$44:G$57, $A$44:$A$57,$A169, $C$44:$C$57, "$ Actual")/G$156</f>
        <v>0.155071047512049</v>
      </c>
      <c r="H169" s="16" t="n">
        <f aca="false">SUMIFS(H$44:H$57, $A$44:$A$57,$A169, $C$44:$C$57, "$ Actual")/H$156</f>
        <v>0.227205340932263</v>
      </c>
      <c r="I169" s="16" t="n">
        <f aca="false">SUMIFS(I$44:I$57, $A$44:$A$57,$A169, $C$44:$C$57, "$ Actual")/I$156</f>
        <v>0.269786586622956</v>
      </c>
      <c r="J169" s="16" t="n">
        <f aca="false">SUMIFS(J$44:J$57, $A$44:$A$57,$A169, $C$44:$C$57, "$ Actual")/J$156</f>
        <v>0.262394262216071</v>
      </c>
      <c r="K169" s="16" t="n">
        <f aca="false">SUMIFS(K$44:K$57, $A$44:$A$57,$A169, $C$44:$C$57, "$ Actual")/K$156</f>
        <v>0.00329899792265384</v>
      </c>
      <c r="L169" s="16" t="n">
        <f aca="false">SUMIFS(L$44:L$57, $A$44:$A$57,$A169, $C$44:$C$57, "$ Actual")/L$156</f>
        <v>0</v>
      </c>
      <c r="M169" s="16" t="e">
        <f aca="false">SUMIFS(M$44:M$57, $A$44:$A$57,$A169, $C$44:$C$57, "$ Actual")/M$156</f>
        <v>#DIV/0!</v>
      </c>
      <c r="N169" s="16"/>
      <c r="O169" s="16" t="n">
        <f aca="false">SUMIFS(O$44:O$57, $A$44:$A$57,$A169, $C$44:$C$57, "$ Actual")/O$156</f>
        <v>0.336801941348831</v>
      </c>
      <c r="P169" s="16" t="n">
        <f aca="false">SUMIFS(P$44:P$57, $A$44:$A$57,$A169, $C$44:$C$57, "$ Actual")/P$156</f>
        <v>0.122225400514618</v>
      </c>
      <c r="Q169" s="16" t="n">
        <f aca="false">SUMIFS(Q$44:Q$57, $A$44:$A$57,$A169, $C$44:$C$57, "$ Actual")/Q$156</f>
        <v>0.281534159107873</v>
      </c>
      <c r="R169" s="16" t="n">
        <f aca="false">SUMIFS(R$44:R$57, $A$44:$A$57,$A169, $C$44:$C$57, "$ Actual")/R$156</f>
        <v>0</v>
      </c>
      <c r="S169" s="16" t="n">
        <f aca="false">SUMIFS(S$44:S$57, $A$44:$A$57,$A169, $C$44:$C$57, "$ Actual")/S$156</f>
        <v>0.131925840570813</v>
      </c>
      <c r="T169" s="16" t="n">
        <f aca="false">SUMIFS(T$44:T$57, $A$44:$A$57,$A169, $C$44:$C$57, "$ Actual")/T$156</f>
        <v>0.182831590133746</v>
      </c>
      <c r="U169" s="16" t="n">
        <f aca="false">SUMIFS(U$44:U$57, $A$44:$A$57,$A169, $C$44:$C$57, "$ Actual")/U$156</f>
        <v>0.159761140841425</v>
      </c>
      <c r="V169" s="16" t="n">
        <f aca="false">SUMIFS(V$44:V$57, $A$44:$A$57,$A169, $C$44:$C$57, "$ Actual")/V$156</f>
        <v>0.131051252804552</v>
      </c>
      <c r="W169" s="16" t="n">
        <f aca="false">SUMIFS(W$44:W$57, $A$44:$A$57,$A169, $C$44:$C$57, "$ Actual")/W$156</f>
        <v>0.0654932747422774</v>
      </c>
      <c r="X169" s="16" t="e">
        <f aca="false">SUMIFS(X$44:X$57, $A$44:$A$57,$A169, $C$44:$C$57, "$ Actual")/X$156</f>
        <v>#DIV/0!</v>
      </c>
      <c r="Y169" s="16"/>
      <c r="Z169" s="16" t="e">
        <f aca="false">SUMIFS(Z$44:Z$57, $A$44:$A$57,$A169, $C$44:$C$57, "Actual")/Z$156</f>
        <v>#DIV/0!</v>
      </c>
      <c r="AA169" s="16" t="n">
        <f aca="false">SUMIFS(AA$44:AA$57, $A$44:$A$57,$A169, $C$44:$C$57, "$ Actual")/AA$156</f>
        <v>0.221347277667078</v>
      </c>
      <c r="AB169" s="16" t="n">
        <f aca="false">SUMIFS(AB$44:AB$57, $A$44:$A$57,$A169, $C$44:$C$57, "$ Actual")/AB$156</f>
        <v>0</v>
      </c>
      <c r="AC169" s="16" t="e">
        <f aca="false">SUMIFS(AC$44:AC$57, $A$44:$A$57,$A169, $C$44:$C$57, "Actual")/AC$156</f>
        <v>#DIV/0!</v>
      </c>
      <c r="AD169" s="16" t="n">
        <f aca="false">SUMIFS(AD$44:AD$57, $A$44:$A$57,$A169, $C$44:$C$57, "$ Actual")/AD$156</f>
        <v>0.355825084065992</v>
      </c>
      <c r="AE169" s="16" t="n">
        <f aca="false">SUMIFS(AE$44:AE$57, $A$44:$A$57,$A169, $C$44:$C$57, "$ Actual")/AE$156</f>
        <v>0.247820196940361</v>
      </c>
      <c r="AF169" s="16" t="n">
        <f aca="false">SUMIFS(AF$44:AF$57, $A$44:$A$57,$A169, $C$44:$C$57, "$ Actual")/AF$156</f>
        <v>0.374466746130802</v>
      </c>
      <c r="AG169" s="16" t="n">
        <f aca="false">SUMIFS(AG$44:AG$57, $A$44:$A$57,$A169, $C$44:$C$57, "$ Actual")/AG$156</f>
        <v>0.221637596246252</v>
      </c>
      <c r="AH169" s="16" t="n">
        <f aca="false">SUMIFS(AH$44:AH$57, $A$44:$A$57,$A169, $C$44:$C$57, "$ Actual")/AH$156</f>
        <v>0.340552983036158</v>
      </c>
      <c r="AI169" s="16" t="n">
        <f aca="false">SUMIFS(AI$44:AI$57, $A$44:$A$57,$A169, $C$44:$C$57, "$ Actual")/AI$156</f>
        <v>0.265569257346866</v>
      </c>
      <c r="AJ169" s="16" t="e">
        <f aca="false">SUMIFS(AJ$44:AJ$57, $A$44:$A$57,$A169, $C$44:$C$57, "$ Actual")/AJ$156</f>
        <v>#DIV/0!</v>
      </c>
      <c r="AK169" s="16"/>
      <c r="AL169" s="16" t="n">
        <f aca="false">SUMIFS(AL$44:AL$57, $A$44:$A$57,$A169, $C$44:$C$57, "$ Actual")/AL$156</f>
        <v>0.301720718223993</v>
      </c>
      <c r="AM169" s="16" t="n">
        <f aca="false">SUMIFS(AM$44:AM$57, $A$44:$A$57,$A169, $C$44:$C$57, "$ Actual")/AM$156</f>
        <v>0</v>
      </c>
      <c r="AN169" s="16" t="n">
        <f aca="false">SUMIFS(AN$44:AN$57, $A$44:$A$57,$A169, $C$44:$C$57, "$ Actual")/AN$156</f>
        <v>0.393432624736394</v>
      </c>
      <c r="AO169" s="16" t="n">
        <f aca="false">SUMIFS(AO$44:AO$57, $A$44:$A$57,$A169, $C$44:$C$57, "$ Actual")/AO$156</f>
        <v>0.380478098848938</v>
      </c>
      <c r="AP169" s="16" t="n">
        <f aca="false">SUMIFS(AP$44:AP$57, $A$44:$A$57,$A169, $C$44:$C$57, "$ Actual")/AP$156</f>
        <v>0.315939128645806</v>
      </c>
      <c r="AQ169" s="16" t="n">
        <f aca="false">SUMIFS(AQ$44:AQ$57, $A$44:$A$57,$A169, $C$44:$C$57, "$ Actual")/AQ$156</f>
        <v>0.188620751415758</v>
      </c>
      <c r="AR169" s="16" t="n">
        <f aca="false">SUMIFS(AR$44:AR$57, $A$44:$A$57,$A169, $C$44:$C$57, "$ Actual")/AR$156</f>
        <v>0.256033089556849</v>
      </c>
      <c r="AS169" s="16" t="n">
        <f aca="false">SUMIFS(AS$44:AS$57, $A$44:$A$57,$A169, $C$44:$C$57, "$ Actual")/AS$156</f>
        <v>0</v>
      </c>
      <c r="AT169" s="16" t="e">
        <f aca="false">SUMIFS(AT$44:AT$57, $A$44:$A$57,$A169, $C$44:$C$57, "$ Actual")/AT$156</f>
        <v>#DIV/0!</v>
      </c>
      <c r="AU169" s="16" t="e">
        <f aca="false">SUMIFS(AU$44:AU$57, $A$44:$A$57,$A169, $C$44:$C$57, "$ Actual")/AU$156</f>
        <v>#DIV/0!</v>
      </c>
      <c r="AV169" s="16"/>
      <c r="AW169" s="16"/>
      <c r="AX169" s="16"/>
      <c r="AY169" s="16" t="n">
        <f aca="false">SUMIFS(AY$44:AY$57, $A$44:$A$57,$A169, $C$44:$C$57, "$ Actual")/AY$156</f>
        <v>0.287718807526709</v>
      </c>
      <c r="AZ169" s="16" t="n">
        <f aca="false">SUMIFS(AZ$44:AZ$57, $A$44:$A$57,$A169, $C$44:$C$57, "$ Actual")/AZ$156</f>
        <v>0.238043740692397</v>
      </c>
      <c r="BA169" s="16" t="n">
        <f aca="false">SUMIFS(BA$44:BA$57, $A$44:$A$57,$A169, $C$44:$C$57, "$ Actual")/BA$156</f>
        <v>0.188638839669378</v>
      </c>
      <c r="BB169" s="16" t="n">
        <f aca="false">SUMIFS(BB$44:BB$57, $A$44:$A$57,$A169, $C$44:$C$57, "$ Actual")/BB$156</f>
        <v>0.112065236441656</v>
      </c>
      <c r="BC169" s="16" t="n">
        <f aca="false">SUMIFS(BC$44:BC$57, $A$44:$A$57,$A169, $C$44:$C$57, "$ Actual")/BC$156</f>
        <v>0.299163227668098</v>
      </c>
      <c r="BD169" s="16"/>
      <c r="BE169" s="16" t="n">
        <f aca="false">SUMIFS(BE$44:BE$57, $A$44:$A$57,$A169, $C$44:$C$57, "$ Actual")/BE$156</f>
        <v>0.250887890465298</v>
      </c>
    </row>
    <row r="170" customFormat="false" ht="12.75" hidden="false" customHeight="true" outlineLevel="0" collapsed="false">
      <c r="A170" s="1" t="s">
        <v>54</v>
      </c>
      <c r="B170" s="1" t="n">
        <v>2024</v>
      </c>
      <c r="C170" s="17" t="s">
        <v>82</v>
      </c>
      <c r="D170" s="16" t="n">
        <f aca="false">SUMIFS(D$44:D$57, $A$44:$A$57,$A170, $C$44:$C$57, "$ Actual")/D$156</f>
        <v>0.0728949020397258</v>
      </c>
      <c r="E170" s="16" t="n">
        <f aca="false">SUMIFS(E$44:E$57, $A$44:$A$57,$A170, $C$44:$C$57, "$ Actual")/E$156</f>
        <v>0</v>
      </c>
      <c r="F170" s="16" t="n">
        <f aca="false">SUMIFS(F$44:F$57, $A$44:$A$57,$A170, $C$44:$C$57, "$ Actual")/F$156</f>
        <v>0</v>
      </c>
      <c r="G170" s="16" t="n">
        <f aca="false">SUMIFS(G$44:G$57, $A$44:$A$57,$A170, $C$44:$C$57, "$ Actual")/G$156</f>
        <v>0.172886015033285</v>
      </c>
      <c r="H170" s="16" t="n">
        <f aca="false">SUMIFS(H$44:H$57, $A$44:$A$57,$A170, $C$44:$C$57, "$ Actual")/H$156</f>
        <v>0.208336966910515</v>
      </c>
      <c r="I170" s="16" t="n">
        <f aca="false">SUMIFS(I$44:I$57, $A$44:$A$57,$A170, $C$44:$C$57, "$ Actual")/I$156</f>
        <v>0.120151916525389</v>
      </c>
      <c r="J170" s="16" t="n">
        <f aca="false">SUMIFS(J$44:J$57, $A$44:$A$57,$A170, $C$44:$C$57, "$ Actual")/J$156</f>
        <v>0.0842415436637845</v>
      </c>
      <c r="K170" s="16" t="n">
        <f aca="false">SUMIFS(K$44:K$57, $A$44:$A$57,$A170, $C$44:$C$57, "$ Actual")/K$156</f>
        <v>0</v>
      </c>
      <c r="L170" s="16" t="n">
        <f aca="false">SUMIFS(L$44:L$57, $A$44:$A$57,$A170, $C$44:$C$57, "$ Actual")/L$156</f>
        <v>0</v>
      </c>
      <c r="M170" s="16" t="e">
        <f aca="false">SUMIFS(M$44:M$57, $A$44:$A$57,$A170, $C$44:$C$57, "$ Actual")/M$156</f>
        <v>#DIV/0!</v>
      </c>
      <c r="N170" s="16"/>
      <c r="O170" s="16" t="n">
        <f aca="false">SUMIFS(O$44:O$57, $A$44:$A$57,$A170, $C$44:$C$57, "$ Actual")/O$156</f>
        <v>0.00709744944036071</v>
      </c>
      <c r="P170" s="16" t="n">
        <f aca="false">SUMIFS(P$44:P$57, $A$44:$A$57,$A170, $C$44:$C$57, "$ Actual")/P$156</f>
        <v>0.104989837944696</v>
      </c>
      <c r="Q170" s="16" t="n">
        <f aca="false">SUMIFS(Q$44:Q$57, $A$44:$A$57,$A170, $C$44:$C$57, "$ Actual")/Q$156</f>
        <v>0.0640499385956584</v>
      </c>
      <c r="R170" s="16" t="n">
        <f aca="false">SUMIFS(R$44:R$57, $A$44:$A$57,$A170, $C$44:$C$57, "$ Actual")/R$156</f>
        <v>0</v>
      </c>
      <c r="S170" s="16" t="n">
        <f aca="false">SUMIFS(S$44:S$57, $A$44:$A$57,$A170, $C$44:$C$57, "$ Actual")/S$156</f>
        <v>0.112965572071211</v>
      </c>
      <c r="T170" s="16" t="n">
        <f aca="false">SUMIFS(T$44:T$57, $A$44:$A$57,$A170, $C$44:$C$57, "$ Actual")/T$156</f>
        <v>0.0589261990386349</v>
      </c>
      <c r="U170" s="16" t="n">
        <f aca="false">SUMIFS(U$44:U$57, $A$44:$A$57,$A170, $C$44:$C$57, "$ Actual")/U$156</f>
        <v>0.114762689225587</v>
      </c>
      <c r="V170" s="16" t="n">
        <f aca="false">SUMIFS(V$44:V$57, $A$44:$A$57,$A170, $C$44:$C$57, "$ Actual")/V$156</f>
        <v>0</v>
      </c>
      <c r="W170" s="16" t="n">
        <f aca="false">SUMIFS(W$44:W$57, $A$44:$A$57,$A170, $C$44:$C$57, "$ Actual")/W$156</f>
        <v>0.0459769945674664</v>
      </c>
      <c r="X170" s="16" t="e">
        <f aca="false">SUMIFS(X$44:X$57, $A$44:$A$57,$A170, $C$44:$C$57, "$ Actual")/X$156</f>
        <v>#DIV/0!</v>
      </c>
      <c r="Y170" s="16"/>
      <c r="Z170" s="16" t="e">
        <f aca="false">SUMIFS(Z$44:Z$57, $A$44:$A$57,$A170, $C$44:$C$57, "Actual")/Z$156</f>
        <v>#DIV/0!</v>
      </c>
      <c r="AA170" s="16" t="n">
        <f aca="false">SUMIFS(AA$44:AA$57, $A$44:$A$57,$A170, $C$44:$C$57, "$ Actual")/AA$156</f>
        <v>0.170141718193293</v>
      </c>
      <c r="AB170" s="16" t="n">
        <f aca="false">SUMIFS(AB$44:AB$57, $A$44:$A$57,$A170, $C$44:$C$57, "$ Actual")/AB$156</f>
        <v>0.0472378651911563</v>
      </c>
      <c r="AC170" s="16" t="e">
        <f aca="false">SUMIFS(AC$44:AC$57, $A$44:$A$57,$A170, $C$44:$C$57, "Actual")/AC$156</f>
        <v>#DIV/0!</v>
      </c>
      <c r="AD170" s="16" t="n">
        <f aca="false">SUMIFS(AD$44:AD$57, $A$44:$A$57,$A170, $C$44:$C$57, "$ Actual")/AD$156</f>
        <v>0.108308890479341</v>
      </c>
      <c r="AE170" s="16" t="n">
        <f aca="false">SUMIFS(AE$44:AE$57, $A$44:$A$57,$A170, $C$44:$C$57, "$ Actual")/AE$156</f>
        <v>0.127439944165522</v>
      </c>
      <c r="AF170" s="16" t="n">
        <f aca="false">SUMIFS(AF$44:AF$57, $A$44:$A$57,$A170, $C$44:$C$57, "$ Actual")/AF$156</f>
        <v>0.103323164419407</v>
      </c>
      <c r="AG170" s="16" t="n">
        <f aca="false">SUMIFS(AG$44:AG$57, $A$44:$A$57,$A170, $C$44:$C$57, "$ Actual")/AG$156</f>
        <v>0.149395309757669</v>
      </c>
      <c r="AH170" s="16" t="n">
        <f aca="false">SUMIFS(AH$44:AH$57, $A$44:$A$57,$A170, $C$44:$C$57, "$ Actual")/AH$156</f>
        <v>0.124578753555512</v>
      </c>
      <c r="AI170" s="16" t="n">
        <f aca="false">SUMIFS(AI$44:AI$57, $A$44:$A$57,$A170, $C$44:$C$57, "$ Actual")/AI$156</f>
        <v>0.133783307630723</v>
      </c>
      <c r="AJ170" s="16" t="e">
        <f aca="false">SUMIFS(AJ$44:AJ$57, $A$44:$A$57,$A170, $C$44:$C$57, "$ Actual")/AJ$156</f>
        <v>#DIV/0!</v>
      </c>
      <c r="AK170" s="16"/>
      <c r="AL170" s="16" t="n">
        <f aca="false">SUMIFS(AL$44:AL$57, $A$44:$A$57,$A170, $C$44:$C$57, "$ Actual")/AL$156</f>
        <v>0.0497677929486714</v>
      </c>
      <c r="AM170" s="16" t="n">
        <f aca="false">SUMIFS(AM$44:AM$57, $A$44:$A$57,$A170, $C$44:$C$57, "$ Actual")/AM$156</f>
        <v>0.0390914327621165</v>
      </c>
      <c r="AN170" s="16" t="n">
        <f aca="false">SUMIFS(AN$44:AN$57, $A$44:$A$57,$A170, $C$44:$C$57, "$ Actual")/AN$156</f>
        <v>0</v>
      </c>
      <c r="AO170" s="16" t="n">
        <f aca="false">SUMIFS(AO$44:AO$57, $A$44:$A$57,$A170, $C$44:$C$57, "$ Actual")/AO$156</f>
        <v>0</v>
      </c>
      <c r="AP170" s="16" t="n">
        <f aca="false">SUMIFS(AP$44:AP$57, $A$44:$A$57,$A170, $C$44:$C$57, "$ Actual")/AP$156</f>
        <v>0.0111529270408307</v>
      </c>
      <c r="AQ170" s="16" t="n">
        <f aca="false">SUMIFS(AQ$44:AQ$57, $A$44:$A$57,$A170, $C$44:$C$57, "$ Actual")/AQ$156</f>
        <v>0</v>
      </c>
      <c r="AR170" s="16" t="n">
        <f aca="false">SUMIFS(AR$44:AR$57, $A$44:$A$57,$A170, $C$44:$C$57, "$ Actual")/AR$156</f>
        <v>0.113214742990871</v>
      </c>
      <c r="AS170" s="16" t="n">
        <f aca="false">SUMIFS(AS$44:AS$57, $A$44:$A$57,$A170, $C$44:$C$57, "$ Actual")/AS$156</f>
        <v>0</v>
      </c>
      <c r="AT170" s="16" t="e">
        <f aca="false">SUMIFS(AT$44:AT$57, $A$44:$A$57,$A170, $C$44:$C$57, "$ Actual")/AT$156</f>
        <v>#DIV/0!</v>
      </c>
      <c r="AU170" s="16" t="e">
        <f aca="false">SUMIFS(AU$44:AU$57, $A$44:$A$57,$A170, $C$44:$C$57, "$ Actual")/AU$156</f>
        <v>#DIV/0!</v>
      </c>
      <c r="AV170" s="16"/>
      <c r="AW170" s="16"/>
      <c r="AX170" s="16"/>
      <c r="AY170" s="16" t="n">
        <f aca="false">SUMIFS(AY$44:AY$57, $A$44:$A$57,$A170, $C$44:$C$57, "$ Actual")/AY$156</f>
        <v>0.0257312235673022</v>
      </c>
      <c r="AZ170" s="16" t="n">
        <f aca="false">SUMIFS(AZ$44:AZ$57, $A$44:$A$57,$A170, $C$44:$C$57, "$ Actual")/AZ$156</f>
        <v>0.103207685669591</v>
      </c>
      <c r="BA170" s="16" t="n">
        <f aca="false">SUMIFS(BA$44:BA$57, $A$44:$A$57,$A170, $C$44:$C$57, "$ Actual")/BA$156</f>
        <v>0.0639971183825191</v>
      </c>
      <c r="BB170" s="16" t="n">
        <f aca="false">SUMIFS(BB$44:BB$57, $A$44:$A$57,$A170, $C$44:$C$57, "$ Actual")/BB$156</f>
        <v>0.109462481149573</v>
      </c>
      <c r="BC170" s="16" t="n">
        <f aca="false">SUMIFS(BC$44:BC$57, $A$44:$A$57,$A170, $C$44:$C$57, "$ Actual")/BC$156</f>
        <v>0.125479505287244</v>
      </c>
      <c r="BD170" s="16"/>
      <c r="BE170" s="16" t="n">
        <f aca="false">SUMIFS(BE$44:BE$57, $A$44:$A$57,$A170, $C$44:$C$57, "$ Actual")/BE$156</f>
        <v>0.0802669533284655</v>
      </c>
    </row>
    <row r="171" customFormat="false" ht="12.75" hidden="false" customHeight="true" outlineLevel="0" collapsed="false">
      <c r="A171" s="1" t="s">
        <v>55</v>
      </c>
      <c r="B171" s="1" t="n">
        <v>2024</v>
      </c>
      <c r="C171" s="17" t="s">
        <v>82</v>
      </c>
      <c r="D171" s="16" t="n">
        <f aca="false">SUMIFS(D$44:D$57, $A$44:$A$57,$A171, $C$44:$C$57, "$ Actual")/D$156</f>
        <v>0.291408017507501</v>
      </c>
      <c r="E171" s="16" t="n">
        <f aca="false">SUMIFS(E$44:E$57, $A$44:$A$57,$A171, $C$44:$C$57, "$ Actual")/E$156</f>
        <v>0.318406556058706</v>
      </c>
      <c r="F171" s="16" t="n">
        <f aca="false">SUMIFS(F$44:F$57, $A$44:$A$57,$A171, $C$44:$C$57, "$ Actual")/F$156</f>
        <v>0.402084494285306</v>
      </c>
      <c r="G171" s="16" t="n">
        <f aca="false">SUMIFS(G$44:G$57, $A$44:$A$57,$A171, $C$44:$C$57, "$ Actual")/G$156</f>
        <v>0.284315059835747</v>
      </c>
      <c r="H171" s="16" t="n">
        <f aca="false">SUMIFS(H$44:H$57, $A$44:$A$57,$A171, $C$44:$C$57, "$ Actual")/H$156</f>
        <v>0.259321573438365</v>
      </c>
      <c r="I171" s="16" t="n">
        <f aca="false">SUMIFS(I$44:I$57, $A$44:$A$57,$A171, $C$44:$C$57, "$ Actual")/I$156</f>
        <v>0.294190815330769</v>
      </c>
      <c r="J171" s="16" t="n">
        <f aca="false">SUMIFS(J$44:J$57, $A$44:$A$57,$A171, $C$44:$C$57, "$ Actual")/J$156</f>
        <v>0.285469121223003</v>
      </c>
      <c r="K171" s="16" t="n">
        <f aca="false">SUMIFS(K$44:K$57, $A$44:$A$57,$A171, $C$44:$C$57, "$ Actual")/K$156</f>
        <v>0.543893355721313</v>
      </c>
      <c r="L171" s="16" t="n">
        <f aca="false">SUMIFS(L$44:L$57, $A$44:$A$57,$A171, $C$44:$C$57, "$ Actual")/L$156</f>
        <v>0.351640027270661</v>
      </c>
      <c r="M171" s="16" t="e">
        <f aca="false">SUMIFS(M$44:M$57, $A$44:$A$57,$A171, $C$44:$C$57, "$ Actual")/M$156</f>
        <v>#DIV/0!</v>
      </c>
      <c r="N171" s="16"/>
      <c r="O171" s="16" t="n">
        <f aca="false">SUMIFS(O$44:O$57, $A$44:$A$57,$A171, $C$44:$C$57, "$ Actual")/O$156</f>
        <v>0.265027457544035</v>
      </c>
      <c r="P171" s="16" t="n">
        <f aca="false">SUMIFS(P$44:P$57, $A$44:$A$57,$A171, $C$44:$C$57, "$ Actual")/P$156</f>
        <v>0.397124537663539</v>
      </c>
      <c r="Q171" s="16" t="n">
        <f aca="false">SUMIFS(Q$44:Q$57, $A$44:$A$57,$A171, $C$44:$C$57, "$ Actual")/Q$156</f>
        <v>0.297939886268816</v>
      </c>
      <c r="R171" s="16" t="n">
        <f aca="false">SUMIFS(R$44:R$57, $A$44:$A$57,$A171, $C$44:$C$57, "$ Actual")/R$156</f>
        <v>0.326005688688954</v>
      </c>
      <c r="S171" s="16" t="n">
        <f aca="false">SUMIFS(S$44:S$57, $A$44:$A$57,$A171, $C$44:$C$57, "$ Actual")/S$156</f>
        <v>0.321405999979873</v>
      </c>
      <c r="T171" s="16" t="n">
        <f aca="false">SUMIFS(T$44:T$57, $A$44:$A$57,$A171, $C$44:$C$57, "$ Actual")/T$156</f>
        <v>0.260047812404642</v>
      </c>
      <c r="U171" s="16" t="n">
        <f aca="false">SUMIFS(U$44:U$57, $A$44:$A$57,$A171, $C$44:$C$57, "$ Actual")/U$156</f>
        <v>0.337315657006489</v>
      </c>
      <c r="V171" s="16" t="n">
        <f aca="false">SUMIFS(V$44:V$57, $A$44:$A$57,$A171, $C$44:$C$57, "$ Actual")/V$156</f>
        <v>0.528669232022662</v>
      </c>
      <c r="W171" s="16" t="n">
        <f aca="false">SUMIFS(W$44:W$57, $A$44:$A$57,$A171, $C$44:$C$57, "$ Actual")/W$156</f>
        <v>0.390788991203979</v>
      </c>
      <c r="X171" s="16" t="e">
        <f aca="false">SUMIFS(X$44:X$57, $A$44:$A$57,$A171, $C$44:$C$57, "$ Actual")/X$156</f>
        <v>#DIV/0!</v>
      </c>
      <c r="Y171" s="16"/>
      <c r="Z171" s="16" t="e">
        <f aca="false">SUMIFS(Z$44:Z$57, $A$44:$A$57,$A171, $C$44:$C$57, "Actual")/Z$156</f>
        <v>#DIV/0!</v>
      </c>
      <c r="AA171" s="16" t="n">
        <f aca="false">SUMIFS(AA$44:AA$57, $A$44:$A$57,$A171, $C$44:$C$57, "$ Actual")/AA$156</f>
        <v>0.320648919747803</v>
      </c>
      <c r="AB171" s="16" t="n">
        <f aca="false">SUMIFS(AB$44:AB$57, $A$44:$A$57,$A171, $C$44:$C$57, "$ Actual")/AB$156</f>
        <v>0.391803708436905</v>
      </c>
      <c r="AC171" s="16" t="e">
        <f aca="false">SUMIFS(AC$44:AC$57, $A$44:$A$57,$A171, $C$44:$C$57, "Actual")/AC$156</f>
        <v>#DIV/0!</v>
      </c>
      <c r="AD171" s="16" t="n">
        <f aca="false">SUMIFS(AD$44:AD$57, $A$44:$A$57,$A171, $C$44:$C$57, "$ Actual")/AD$156</f>
        <v>0.209821232130453</v>
      </c>
      <c r="AE171" s="16" t="n">
        <f aca="false">SUMIFS(AE$44:AE$57, $A$44:$A$57,$A171, $C$44:$C$57, "$ Actual")/AE$156</f>
        <v>0.235168966837022</v>
      </c>
      <c r="AF171" s="16" t="n">
        <f aca="false">SUMIFS(AF$44:AF$57, $A$44:$A$57,$A171, $C$44:$C$57, "$ Actual")/AF$156</f>
        <v>0.225723862518467</v>
      </c>
      <c r="AG171" s="16" t="n">
        <f aca="false">SUMIFS(AG$44:AG$57, $A$44:$A$57,$A171, $C$44:$C$57, "$ Actual")/AG$156</f>
        <v>0.308683527126018</v>
      </c>
      <c r="AH171" s="16" t="n">
        <f aca="false">SUMIFS(AH$44:AH$57, $A$44:$A$57,$A171, $C$44:$C$57, "$ Actual")/AH$156</f>
        <v>0.241492215038633</v>
      </c>
      <c r="AI171" s="16" t="n">
        <f aca="false">SUMIFS(AI$44:AI$57, $A$44:$A$57,$A171, $C$44:$C$57, "$ Actual")/AI$156</f>
        <v>0.296458830886603</v>
      </c>
      <c r="AJ171" s="16" t="e">
        <f aca="false">SUMIFS(AJ$44:AJ$57, $A$44:$A$57,$A171, $C$44:$C$57, "$ Actual")/AJ$156</f>
        <v>#DIV/0!</v>
      </c>
      <c r="AK171" s="16"/>
      <c r="AL171" s="16" t="n">
        <f aca="false">SUMIFS(AL$44:AL$57, $A$44:$A$57,$A171, $C$44:$C$57, "$ Actual")/AL$156</f>
        <v>0.193839411817884</v>
      </c>
      <c r="AM171" s="16" t="n">
        <f aca="false">SUMIFS(AM$44:AM$57, $A$44:$A$57,$A171, $C$44:$C$57, "$ Actual")/AM$156</f>
        <v>0.177537550339913</v>
      </c>
      <c r="AN171" s="16" t="n">
        <f aca="false">SUMIFS(AN$44:AN$57, $A$44:$A$57,$A171, $C$44:$C$57, "$ Actual")/AN$156</f>
        <v>0.252584979202759</v>
      </c>
      <c r="AO171" s="16" t="n">
        <f aca="false">SUMIFS(AO$44:AO$57, $A$44:$A$57,$A171, $C$44:$C$57, "$ Actual")/AO$156</f>
        <v>0.255668933081392</v>
      </c>
      <c r="AP171" s="16" t="n">
        <f aca="false">SUMIFS(AP$44:AP$57, $A$44:$A$57,$A171, $C$44:$C$57, "$ Actual")/AP$156</f>
        <v>0.286180023894747</v>
      </c>
      <c r="AQ171" s="16" t="n">
        <f aca="false">SUMIFS(AQ$44:AQ$57, $A$44:$A$57,$A171, $C$44:$C$57, "$ Actual")/AQ$156</f>
        <v>0.346480972139834</v>
      </c>
      <c r="AR171" s="16" t="n">
        <f aca="false">SUMIFS(AR$44:AR$57, $A$44:$A$57,$A171, $C$44:$C$57, "$ Actual")/AR$156</f>
        <v>0.360810736618596</v>
      </c>
      <c r="AS171" s="16" t="n">
        <f aca="false">SUMIFS(AS$44:AS$57, $A$44:$A$57,$A171, $C$44:$C$57, "$ Actual")/AS$156</f>
        <v>0.208391934546873</v>
      </c>
      <c r="AT171" s="16" t="e">
        <f aca="false">SUMIFS(AT$44:AT$57, $A$44:$A$57,$A171, $C$44:$C$57, "$ Actual")/AT$156</f>
        <v>#DIV/0!</v>
      </c>
      <c r="AU171" s="16" t="e">
        <f aca="false">SUMIFS(AU$44:AU$57, $A$44:$A$57,$A171, $C$44:$C$57, "$ Actual")/AU$156</f>
        <v>#DIV/0!</v>
      </c>
      <c r="AV171" s="16"/>
      <c r="AW171" s="16"/>
      <c r="AX171" s="16"/>
      <c r="AY171" s="16" t="n">
        <f aca="false">SUMIFS(AY$44:AY$57, $A$44:$A$57,$A171, $C$44:$C$57, "$ Actual")/AY$156</f>
        <v>0.271309559778701</v>
      </c>
      <c r="AZ171" s="16" t="n">
        <f aca="false">SUMIFS(AZ$44:AZ$57, $A$44:$A$57,$A171, $C$44:$C$57, "$ Actual")/AZ$156</f>
        <v>0.299820179033421</v>
      </c>
      <c r="BA171" s="16" t="n">
        <f aca="false">SUMIFS(BA$44:BA$57, $A$44:$A$57,$A171, $C$44:$C$57, "$ Actual")/BA$156</f>
        <v>0.332540702590455</v>
      </c>
      <c r="BB171" s="16" t="n">
        <f aca="false">SUMIFS(BB$44:BB$57, $A$44:$A$57,$A171, $C$44:$C$57, "$ Actual")/BB$156</f>
        <v>0.355778968026979</v>
      </c>
      <c r="BC171" s="16" t="n">
        <f aca="false">SUMIFS(BC$44:BC$57, $A$44:$A$57,$A171, $C$44:$C$57, "$ Actual")/BC$156</f>
        <v>0.253001816596105</v>
      </c>
      <c r="BD171" s="16"/>
      <c r="BE171" s="16" t="n">
        <f aca="false">SUMIFS(BE$44:BE$57, $A$44:$A$57,$A171, $C$44:$C$57, "$ Actual")/BE$156</f>
        <v>0.290309193730953</v>
      </c>
    </row>
    <row r="172" customFormat="false" ht="12.75" hidden="false" customHeight="true" outlineLevel="0" collapsed="false">
      <c r="A172" s="1" t="s">
        <v>72</v>
      </c>
      <c r="B172" s="1" t="n">
        <v>2024</v>
      </c>
      <c r="C172" s="17" t="s">
        <v>82</v>
      </c>
      <c r="D172" s="16" t="n">
        <f aca="false">SUMIFS(D$44:D$57, $A$44:$A$57,$A172, $C$44:$C$57, "$ Actual")/D$156</f>
        <v>0.0415241292027078</v>
      </c>
      <c r="E172" s="16" t="n">
        <f aca="false">SUMIFS(E$44:E$57, $A$44:$A$57,$A172, $C$44:$C$57, "$ Actual")/E$156</f>
        <v>0.123883469120083</v>
      </c>
      <c r="F172" s="16" t="n">
        <f aca="false">SUMIFS(F$44:F$57, $A$44:$A$57,$A172, $C$44:$C$57, "$ Actual")/F$156</f>
        <v>0.0715444047066532</v>
      </c>
      <c r="G172" s="16" t="n">
        <f aca="false">SUMIFS(G$44:G$57, $A$44:$A$57,$A172, $C$44:$C$57, "$ Actual")/G$156</f>
        <v>0.0698736504346408</v>
      </c>
      <c r="H172" s="16" t="n">
        <f aca="false">SUMIFS(H$44:H$57, $A$44:$A$57,$A172, $C$44:$C$57, "$ Actual")/H$156</f>
        <v>0.032620889932445</v>
      </c>
      <c r="I172" s="16" t="n">
        <f aca="false">SUMIFS(I$44:I$57, $A$44:$A$57,$A172, $C$44:$C$57, "$ Actual")/I$156</f>
        <v>0.0314121866669376</v>
      </c>
      <c r="J172" s="16" t="n">
        <f aca="false">SUMIFS(J$44:J$57, $A$44:$A$57,$A172, $C$44:$C$57, "$ Actual")/J$156</f>
        <v>0.0611901013026552</v>
      </c>
      <c r="K172" s="16" t="n">
        <f aca="false">SUMIFS(K$44:K$57, $A$44:$A$57,$A172, $C$44:$C$57, "$ Actual")/K$156</f>
        <v>0</v>
      </c>
      <c r="L172" s="16" t="n">
        <f aca="false">SUMIFS(L$44:L$57, $A$44:$A$57,$A172, $C$44:$C$57, "$ Actual")/L$156</f>
        <v>0</v>
      </c>
      <c r="M172" s="16" t="e">
        <f aca="false">SUMIFS(M$44:M$57, $A$44:$A$57,$A172, $C$44:$C$57, "$ Actual")/M$156</f>
        <v>#DIV/0!</v>
      </c>
      <c r="N172" s="16"/>
      <c r="O172" s="16" t="n">
        <f aca="false">SUMIFS(O$44:O$57, $A$44:$A$57,$A172, $C$44:$C$57, "$ Actual")/O$156</f>
        <v>0.0490879502562483</v>
      </c>
      <c r="P172" s="16" t="n">
        <f aca="false">SUMIFS(P$44:P$57, $A$44:$A$57,$A172, $C$44:$C$57, "$ Actual")/P$156</f>
        <v>0.124181930766173</v>
      </c>
      <c r="Q172" s="16" t="n">
        <f aca="false">SUMIFS(Q$44:Q$57, $A$44:$A$57,$A172, $C$44:$C$57, "$ Actual")/Q$156</f>
        <v>0.0397376788001028</v>
      </c>
      <c r="R172" s="16" t="n">
        <f aca="false">SUMIFS(R$44:R$57, $A$44:$A$57,$A172, $C$44:$C$57, "$ Actual")/R$156</f>
        <v>0.146772406036998</v>
      </c>
      <c r="S172" s="16" t="n">
        <f aca="false">SUMIFS(S$44:S$57, $A$44:$A$57,$A172, $C$44:$C$57, "$ Actual")/S$156</f>
        <v>0.0390348405406221</v>
      </c>
      <c r="T172" s="16" t="n">
        <f aca="false">SUMIFS(T$44:T$57, $A$44:$A$57,$A172, $C$44:$C$57, "$ Actual")/T$156</f>
        <v>0.0525502757231923</v>
      </c>
      <c r="U172" s="16" t="n">
        <f aca="false">SUMIFS(U$44:U$57, $A$44:$A$57,$A172, $C$44:$C$57, "$ Actual")/U$156</f>
        <v>0.0495412702903538</v>
      </c>
      <c r="V172" s="16" t="n">
        <f aca="false">SUMIFS(V$44:V$57, $A$44:$A$57,$A172, $C$44:$C$57, "$ Actual")/V$156</f>
        <v>0.0315498677630012</v>
      </c>
      <c r="W172" s="16" t="n">
        <f aca="false">SUMIFS(W$44:W$57, $A$44:$A$57,$A172, $C$44:$C$57, "$ Actual")/W$156</f>
        <v>0.0563330226083132</v>
      </c>
      <c r="X172" s="16" t="e">
        <f aca="false">SUMIFS(X$44:X$57, $A$44:$A$57,$A172, $C$44:$C$57, "$ Actual")/X$156</f>
        <v>#DIV/0!</v>
      </c>
      <c r="Y172" s="16"/>
      <c r="Z172" s="16" t="e">
        <f aca="false">SUMIFS(Z$44:Z$57, $A$44:$A$57,$A172, $C$44:$C$57, "Actual")/Z$156</f>
        <v>#DIV/0!</v>
      </c>
      <c r="AA172" s="16" t="n">
        <f aca="false">SUMIFS(AA$44:AA$57, $A$44:$A$57,$A172, $C$44:$C$57, "$ Actual")/AA$156</f>
        <v>0.0933816911384855</v>
      </c>
      <c r="AB172" s="16" t="n">
        <f aca="false">SUMIFS(AB$44:AB$57, $A$44:$A$57,$A172, $C$44:$C$57, "$ Actual")/AB$156</f>
        <v>0</v>
      </c>
      <c r="AC172" s="16" t="e">
        <f aca="false">SUMIFS(AC$44:AC$57, $A$44:$A$57,$A172, $C$44:$C$57, "Actual")/AC$156</f>
        <v>#DIV/0!</v>
      </c>
      <c r="AD172" s="16" t="n">
        <f aca="false">SUMIFS(AD$44:AD$57, $A$44:$A$57,$A172, $C$44:$C$57, "$ Actual")/AD$156</f>
        <v>0</v>
      </c>
      <c r="AE172" s="16" t="n">
        <f aca="false">SUMIFS(AE$44:AE$57, $A$44:$A$57,$A172, $C$44:$C$57, "$ Actual")/AE$156</f>
        <v>0.0245753315172119</v>
      </c>
      <c r="AF172" s="16" t="n">
        <f aca="false">SUMIFS(AF$44:AF$57, $A$44:$A$57,$A172, $C$44:$C$57, "$ Actual")/AF$156</f>
        <v>0.0388127520052217</v>
      </c>
      <c r="AG172" s="16" t="n">
        <f aca="false">SUMIFS(AG$44:AG$57, $A$44:$A$57,$A172, $C$44:$C$57, "$ Actual")/AG$156</f>
        <v>0.0196686471908712</v>
      </c>
      <c r="AH172" s="16" t="n">
        <f aca="false">SUMIFS(AH$44:AH$57, $A$44:$A$57,$A172, $C$44:$C$57, "$ Actual")/AH$156</f>
        <v>0.0309667636607939</v>
      </c>
      <c r="AI172" s="16" t="n">
        <f aca="false">SUMIFS(AI$44:AI$57, $A$44:$A$57,$A172, $C$44:$C$57, "$ Actual")/AI$156</f>
        <v>0.0217204917302275</v>
      </c>
      <c r="AJ172" s="16" t="e">
        <f aca="false">SUMIFS(AJ$44:AJ$57, $A$44:$A$57,$A172, $C$44:$C$57, "$ Actual")/AJ$156</f>
        <v>#DIV/0!</v>
      </c>
      <c r="AK172" s="16"/>
      <c r="AL172" s="16" t="n">
        <f aca="false">SUMIFS(AL$44:AL$57, $A$44:$A$57,$A172, $C$44:$C$57, "$ Actual")/AL$156</f>
        <v>0.0529988326661796</v>
      </c>
      <c r="AM172" s="16" t="n">
        <f aca="false">SUMIFS(AM$44:AM$57, $A$44:$A$57,$A172, $C$44:$C$57, "$ Actual")/AM$156</f>
        <v>0.184439859822215</v>
      </c>
      <c r="AN172" s="16" t="n">
        <f aca="false">SUMIFS(AN$44:AN$57, $A$44:$A$57,$A172, $C$44:$C$57, "$ Actual")/AN$156</f>
        <v>0.038176672136716</v>
      </c>
      <c r="AO172" s="16" t="n">
        <f aca="false">SUMIFS(AO$44:AO$57, $A$44:$A$57,$A172, $C$44:$C$57, "$ Actual")/AO$156</f>
        <v>0.0666732769719623</v>
      </c>
      <c r="AP172" s="16" t="n">
        <f aca="false">SUMIFS(AP$44:AP$57, $A$44:$A$57,$A172, $C$44:$C$57, "$ Actual")/AP$156</f>
        <v>0.0508715360448957</v>
      </c>
      <c r="AQ172" s="16" t="n">
        <f aca="false">SUMIFS(AQ$44:AQ$57, $A$44:$A$57,$A172, $C$44:$C$57, "$ Actual")/AQ$156</f>
        <v>0.129945674597374</v>
      </c>
      <c r="AR172" s="16" t="n">
        <f aca="false">SUMIFS(AR$44:AR$57, $A$44:$A$57,$A172, $C$44:$C$57, "$ Actual")/AR$156</f>
        <v>0.0757734494127833</v>
      </c>
      <c r="AS172" s="16" t="n">
        <f aca="false">SUMIFS(AS$44:AS$57, $A$44:$A$57,$A172, $C$44:$C$57, "$ Actual")/AS$156</f>
        <v>0.0315203158325947</v>
      </c>
      <c r="AT172" s="16" t="e">
        <f aca="false">SUMIFS(AT$44:AT$57, $A$44:$A$57,$A172, $C$44:$C$57, "$ Actual")/AT$156</f>
        <v>#DIV/0!</v>
      </c>
      <c r="AU172" s="16" t="e">
        <f aca="false">SUMIFS(AU$44:AU$57, $A$44:$A$57,$A172, $C$44:$C$57, "$ Actual")/AU$156</f>
        <v>#DIV/0!</v>
      </c>
      <c r="AV172" s="16"/>
      <c r="AW172" s="16"/>
      <c r="AX172" s="16"/>
      <c r="AY172" s="16" t="n">
        <f aca="false">SUMIFS(AY$44:AY$57, $A$44:$A$57,$A172, $C$44:$C$57, "$ Actual")/AY$156</f>
        <v>0.074023327076526</v>
      </c>
      <c r="AZ172" s="16" t="n">
        <f aca="false">SUMIFS(AZ$44:AZ$57, $A$44:$A$57,$A172, $C$44:$C$57, "$ Actual")/AZ$156</f>
        <v>0.0546266895188891</v>
      </c>
      <c r="BA172" s="16" t="n">
        <f aca="false">SUMIFS(BA$44:BA$57, $A$44:$A$57,$A172, $C$44:$C$57, "$ Actual")/BA$156</f>
        <v>0.0610870014585047</v>
      </c>
      <c r="BB172" s="16" t="n">
        <f aca="false">SUMIFS(BB$44:BB$57, $A$44:$A$57,$A172, $C$44:$C$57, "$ Actual")/BB$156</f>
        <v>0.0472779308923595</v>
      </c>
      <c r="BC172" s="16" t="n">
        <f aca="false">SUMIFS(BC$44:BC$57, $A$44:$A$57,$A172, $C$44:$C$57, "$ Actual")/BC$156</f>
        <v>0.0221890077386114</v>
      </c>
      <c r="BD172" s="16"/>
      <c r="BE172" s="16" t="n">
        <f aca="false">SUMIFS(BE$44:BE$57, $A$44:$A$57,$A172, $C$44:$C$57, "$ Actual")/BE$156</f>
        <v>0.052919083301413</v>
      </c>
    </row>
    <row r="173" customFormat="false" ht="12.75" hidden="false" customHeight="true" outlineLevel="0" collapsed="false">
      <c r="A173" s="1" t="s">
        <v>57</v>
      </c>
      <c r="B173" s="1" t="n">
        <v>2024</v>
      </c>
      <c r="C173" s="17" t="s">
        <v>82</v>
      </c>
      <c r="D173" s="16" t="n">
        <f aca="false">SUMIFS(D$44:D$57, $A$44:$A$57,$A173, $C$44:$C$57, "$ Actual")/D$156</f>
        <v>0</v>
      </c>
      <c r="E173" s="16" t="n">
        <f aca="false">SUMIFS(E$44:E$57, $A$44:$A$57,$A173, $C$44:$C$57, "$ Actual")/E$156</f>
        <v>0</v>
      </c>
      <c r="F173" s="16" t="n">
        <f aca="false">SUMIFS(F$44:F$57, $A$44:$A$57,$A173, $C$44:$C$57, "$ Actual")/F$156</f>
        <v>0</v>
      </c>
      <c r="G173" s="16" t="n">
        <f aca="false">SUMIFS(G$44:G$57, $A$44:$A$57,$A173, $C$44:$C$57, "$ Actual")/G$156</f>
        <v>0.0152953244028961</v>
      </c>
      <c r="H173" s="16" t="n">
        <f aca="false">SUMIFS(H$44:H$57, $A$44:$A$57,$A173, $C$44:$C$57, "$ Actual")/H$156</f>
        <v>0</v>
      </c>
      <c r="I173" s="16" t="n">
        <f aca="false">SUMIFS(I$44:I$57, $A$44:$A$57,$A173, $C$44:$C$57, "$ Actual")/I$156</f>
        <v>0.00446989068487928</v>
      </c>
      <c r="J173" s="16" t="n">
        <f aca="false">SUMIFS(J$44:J$57, $A$44:$A$57,$A173, $C$44:$C$57, "$ Actual")/J$156</f>
        <v>0</v>
      </c>
      <c r="K173" s="16" t="n">
        <f aca="false">SUMIFS(K$44:K$57, $A$44:$A$57,$A173, $C$44:$C$57, "$ Actual")/K$156</f>
        <v>0</v>
      </c>
      <c r="L173" s="16" t="n">
        <f aca="false">SUMIFS(L$44:L$57, $A$44:$A$57,$A173, $C$44:$C$57, "$ Actual")/L$156</f>
        <v>0</v>
      </c>
      <c r="M173" s="16" t="e">
        <f aca="false">SUMIFS(M$44:M$57, $A$44:$A$57,$A173, $C$44:$C$57, "$ Actual")/M$156</f>
        <v>#DIV/0!</v>
      </c>
      <c r="N173" s="16"/>
      <c r="O173" s="16" t="n">
        <f aca="false">SUMIFS(O$44:O$57, $A$44:$A$57,$A173, $C$44:$C$57, "$ Actual")/O$156</f>
        <v>0.0555649276520764</v>
      </c>
      <c r="P173" s="16" t="n">
        <f aca="false">SUMIFS(P$44:P$57, $A$44:$A$57,$A173, $C$44:$C$57, "$ Actual")/P$156</f>
        <v>0</v>
      </c>
      <c r="Q173" s="16" t="n">
        <f aca="false">SUMIFS(Q$44:Q$57, $A$44:$A$57,$A173, $C$44:$C$57, "$ Actual")/Q$156</f>
        <v>0.0440061103302095</v>
      </c>
      <c r="R173" s="16" t="n">
        <f aca="false">SUMIFS(R$44:R$57, $A$44:$A$57,$A173, $C$44:$C$57, "$ Actual")/R$156</f>
        <v>0.196985868357623</v>
      </c>
      <c r="S173" s="16" t="n">
        <f aca="false">SUMIFS(S$44:S$57, $A$44:$A$57,$A173, $C$44:$C$57, "$ Actual")/S$156</f>
        <v>0.121131260881379</v>
      </c>
      <c r="T173" s="16" t="n">
        <f aca="false">SUMIFS(T$44:T$57, $A$44:$A$57,$A173, $C$44:$C$57, "$ Actual")/T$156</f>
        <v>0.0119477969913505</v>
      </c>
      <c r="U173" s="16" t="n">
        <f aca="false">SUMIFS(U$44:U$57, $A$44:$A$57,$A173, $C$44:$C$57, "$ Actual")/U$156</f>
        <v>0.0155470478032676</v>
      </c>
      <c r="V173" s="16" t="n">
        <f aca="false">SUMIFS(V$44:V$57, $A$44:$A$57,$A173, $C$44:$C$57, "$ Actual")/V$156</f>
        <v>0</v>
      </c>
      <c r="W173" s="16" t="n">
        <f aca="false">SUMIFS(W$44:W$57, $A$44:$A$57,$A173, $C$44:$C$57, "$ Actual")/W$156</f>
        <v>0.029043708161956</v>
      </c>
      <c r="X173" s="16" t="e">
        <f aca="false">SUMIFS(X$44:X$57, $A$44:$A$57,$A173, $C$44:$C$57, "$ Actual")/X$156</f>
        <v>#DIV/0!</v>
      </c>
      <c r="Y173" s="16"/>
      <c r="Z173" s="16" t="e">
        <f aca="false">SUMIFS(Z$44:Z$57, $A$44:$A$57,$A173, $C$44:$C$57, "Actual")/Z$156</f>
        <v>#DIV/0!</v>
      </c>
      <c r="AA173" s="16" t="n">
        <f aca="false">SUMIFS(AA$44:AA$57, $A$44:$A$57,$A173, $C$44:$C$57, "$ Actual")/AA$156</f>
        <v>0</v>
      </c>
      <c r="AB173" s="16" t="n">
        <f aca="false">SUMIFS(AB$44:AB$57, $A$44:$A$57,$A173, $C$44:$C$57, "$ Actual")/AB$156</f>
        <v>0.220089941219886</v>
      </c>
      <c r="AC173" s="16" t="e">
        <f aca="false">SUMIFS(AC$44:AC$57, $A$44:$A$57,$A173, $C$44:$C$57, "Actual")/AC$156</f>
        <v>#DIV/0!</v>
      </c>
      <c r="AD173" s="16" t="n">
        <f aca="false">SUMIFS(AD$44:AD$57, $A$44:$A$57,$A173, $C$44:$C$57, "$ Actual")/AD$156</f>
        <v>0</v>
      </c>
      <c r="AE173" s="16" t="n">
        <f aca="false">SUMIFS(AE$44:AE$57, $A$44:$A$57,$A173, $C$44:$C$57, "$ Actual")/AE$156</f>
        <v>0</v>
      </c>
      <c r="AF173" s="16" t="n">
        <f aca="false">SUMIFS(AF$44:AF$57, $A$44:$A$57,$A173, $C$44:$C$57, "$ Actual")/AF$156</f>
        <v>0</v>
      </c>
      <c r="AG173" s="16" t="n">
        <f aca="false">SUMIFS(AG$44:AG$57, $A$44:$A$57,$A173, $C$44:$C$57, "$ Actual")/AG$156</f>
        <v>0</v>
      </c>
      <c r="AH173" s="16" t="n">
        <f aca="false">SUMIFS(AH$44:AH$57, $A$44:$A$57,$A173, $C$44:$C$57, "$ Actual")/AH$156</f>
        <v>0</v>
      </c>
      <c r="AI173" s="16" t="n">
        <f aca="false">SUMIFS(AI$44:AI$57, $A$44:$A$57,$A173, $C$44:$C$57, "$ Actual")/AI$156</f>
        <v>0</v>
      </c>
      <c r="AJ173" s="16" t="e">
        <f aca="false">SUMIFS(AJ$44:AJ$57, $A$44:$A$57,$A173, $C$44:$C$57, "$ Actual")/AJ$156</f>
        <v>#DIV/0!</v>
      </c>
      <c r="AK173" s="16"/>
      <c r="AL173" s="16" t="n">
        <f aca="false">SUMIFS(AL$44:AL$57, $A$44:$A$57,$A173, $C$44:$C$57, "$ Actual")/AL$156</f>
        <v>0.00467699235922463</v>
      </c>
      <c r="AM173" s="16" t="n">
        <f aca="false">SUMIFS(AM$44:AM$57, $A$44:$A$57,$A173, $C$44:$C$57, "$ Actual")/AM$156</f>
        <v>0</v>
      </c>
      <c r="AN173" s="16" t="n">
        <f aca="false">SUMIFS(AN$44:AN$57, $A$44:$A$57,$A173, $C$44:$C$57, "$ Actual")/AN$156</f>
        <v>0</v>
      </c>
      <c r="AO173" s="16" t="n">
        <f aca="false">SUMIFS(AO$44:AO$57, $A$44:$A$57,$A173, $C$44:$C$57, "$ Actual")/AO$156</f>
        <v>0</v>
      </c>
      <c r="AP173" s="16" t="n">
        <f aca="false">SUMIFS(AP$44:AP$57, $A$44:$A$57,$A173, $C$44:$C$57, "$ Actual")/AP$156</f>
        <v>0.0185220443614991</v>
      </c>
      <c r="AQ173" s="16" t="n">
        <f aca="false">SUMIFS(AQ$44:AQ$57, $A$44:$A$57,$A173, $C$44:$C$57, "$ Actual")/AQ$156</f>
        <v>0</v>
      </c>
      <c r="AR173" s="16" t="n">
        <f aca="false">SUMIFS(AR$44:AR$57, $A$44:$A$57,$A173, $C$44:$C$57, "$ Actual")/AR$156</f>
        <v>0</v>
      </c>
      <c r="AS173" s="16" t="n">
        <f aca="false">SUMIFS(AS$44:AS$57, $A$44:$A$57,$A173, $C$44:$C$57, "$ Actual")/AS$156</f>
        <v>0</v>
      </c>
      <c r="AT173" s="16" t="e">
        <f aca="false">SUMIFS(AT$44:AT$57, $A$44:$A$57,$A173, $C$44:$C$57, "$ Actual")/AT$156</f>
        <v>#DIV/0!</v>
      </c>
      <c r="AU173" s="16" t="e">
        <f aca="false">SUMIFS(AU$44:AU$57, $A$44:$A$57,$A173, $C$44:$C$57, "$ Actual")/AU$156</f>
        <v>#DIV/0!</v>
      </c>
      <c r="AV173" s="16"/>
      <c r="AW173" s="16"/>
      <c r="AX173" s="16"/>
      <c r="AY173" s="16" t="n">
        <f aca="false">SUMIFS(AY$44:AY$57, $A$44:$A$57,$A173, $C$44:$C$57, "$ Actual")/AY$156</f>
        <v>0.00320584954067863</v>
      </c>
      <c r="AZ173" s="16" t="n">
        <f aca="false">SUMIFS(AZ$44:AZ$57, $A$44:$A$57,$A173, $C$44:$C$57, "$ Actual")/AZ$156</f>
        <v>0.00292475339130134</v>
      </c>
      <c r="BA173" s="16" t="n">
        <f aca="false">SUMIFS(BA$44:BA$57, $A$44:$A$57,$A173, $C$44:$C$57, "$ Actual")/BA$156</f>
        <v>0.0465082059161382</v>
      </c>
      <c r="BB173" s="16" t="n">
        <f aca="false">SUMIFS(BB$44:BB$57, $A$44:$A$57,$A173, $C$44:$C$57, "$ Actual")/BB$156</f>
        <v>0.108661277803778</v>
      </c>
      <c r="BC173" s="16" t="n">
        <f aca="false">SUMIFS(BC$44:BC$57, $A$44:$A$57,$A173, $C$44:$C$57, "$ Actual")/BC$156</f>
        <v>0</v>
      </c>
      <c r="BD173" s="16"/>
      <c r="BE173" s="16" t="n">
        <f aca="false">SUMIFS(BE$44:BE$57, $A$44:$A$57,$A173, $C$44:$C$57, "$ Actual")/BE$156</f>
        <v>0.0147814139658959</v>
      </c>
    </row>
    <row r="174" customFormat="false" ht="12.75" hidden="false" customHeight="true" outlineLevel="0" collapsed="false">
      <c r="A174" s="1" t="s">
        <v>58</v>
      </c>
      <c r="B174" s="1" t="n">
        <v>2024</v>
      </c>
      <c r="C174" s="17" t="s">
        <v>82</v>
      </c>
      <c r="D174" s="16" t="n">
        <f aca="false">SUMIFS(D$44:D$57, $A$44:$A$57,$A174, $C$44:$C$57, "$ Actual")/D$156</f>
        <v>0</v>
      </c>
      <c r="E174" s="16" t="n">
        <f aca="false">SUMIFS(E$44:E$57, $A$44:$A$57,$A174, $C$44:$C$57, "$ Actual")/E$156</f>
        <v>0</v>
      </c>
      <c r="F174" s="16" t="n">
        <f aca="false">SUMIFS(F$44:F$57, $A$44:$A$57,$A174, $C$44:$C$57, "$ Actual")/F$156</f>
        <v>0</v>
      </c>
      <c r="G174" s="16" t="n">
        <f aca="false">SUMIFS(G$44:G$57, $A$44:$A$57,$A174, $C$44:$C$57, "$ Actual")/G$156</f>
        <v>0</v>
      </c>
      <c r="H174" s="16" t="n">
        <f aca="false">SUMIFS(H$44:H$57, $A$44:$A$57,$A174, $C$44:$C$57, "$ Actual")/H$156</f>
        <v>0</v>
      </c>
      <c r="I174" s="16" t="n">
        <f aca="false">SUMIFS(I$44:I$57, $A$44:$A$57,$A174, $C$44:$C$57, "$ Actual")/I$156</f>
        <v>0</v>
      </c>
      <c r="J174" s="16" t="n">
        <f aca="false">SUMIFS(J$44:J$57, $A$44:$A$57,$A174, $C$44:$C$57, "$ Actual")/J$156</f>
        <v>0.00799630337772285</v>
      </c>
      <c r="K174" s="16" t="n">
        <f aca="false">SUMIFS(K$44:K$57, $A$44:$A$57,$A174, $C$44:$C$57, "$ Actual")/K$156</f>
        <v>0</v>
      </c>
      <c r="L174" s="16" t="n">
        <f aca="false">SUMIFS(L$44:L$57, $A$44:$A$57,$A174, $C$44:$C$57, "$ Actual")/L$156</f>
        <v>0</v>
      </c>
      <c r="M174" s="16" t="e">
        <f aca="false">SUMIFS(M$44:M$57, $A$44:$A$57,$A174, $C$44:$C$57, "$ Actual")/M$156</f>
        <v>#DIV/0!</v>
      </c>
      <c r="N174" s="16"/>
      <c r="O174" s="16" t="n">
        <f aca="false">SUMIFS(O$44:O$57, $A$44:$A$57,$A174, $C$44:$C$57, "$ Actual")/O$156</f>
        <v>0</v>
      </c>
      <c r="P174" s="16" t="n">
        <f aca="false">SUMIFS(P$44:P$57, $A$44:$A$57,$A174, $C$44:$C$57, "$ Actual")/P$156</f>
        <v>0</v>
      </c>
      <c r="Q174" s="16" t="n">
        <f aca="false">SUMIFS(Q$44:Q$57, $A$44:$A$57,$A174, $C$44:$C$57, "$ Actual")/Q$156</f>
        <v>0</v>
      </c>
      <c r="R174" s="16" t="n">
        <f aca="false">SUMIFS(R$44:R$57, $A$44:$A$57,$A174, $C$44:$C$57, "$ Actual")/R$156</f>
        <v>0</v>
      </c>
      <c r="S174" s="16" t="n">
        <f aca="false">SUMIFS(S$44:S$57, $A$44:$A$57,$A174, $C$44:$C$57, "$ Actual")/S$156</f>
        <v>0</v>
      </c>
      <c r="T174" s="16" t="n">
        <f aca="false">SUMIFS(T$44:T$57, $A$44:$A$57,$A174, $C$44:$C$57, "$ Actual")/T$156</f>
        <v>0</v>
      </c>
      <c r="U174" s="16" t="n">
        <f aca="false">SUMIFS(U$44:U$57, $A$44:$A$57,$A174, $C$44:$C$57, "$ Actual")/U$156</f>
        <v>0</v>
      </c>
      <c r="V174" s="16" t="n">
        <f aca="false">SUMIFS(V$44:V$57, $A$44:$A$57,$A174, $C$44:$C$57, "$ Actual")/V$156</f>
        <v>0</v>
      </c>
      <c r="W174" s="16" t="n">
        <f aca="false">SUMIFS(W$44:W$57, $A$44:$A$57,$A174, $C$44:$C$57, "$ Actual")/W$156</f>
        <v>0.112239473269549</v>
      </c>
      <c r="X174" s="16" t="e">
        <f aca="false">SUMIFS(X$44:X$57, $A$44:$A$57,$A174, $C$44:$C$57, "$ Actual")/X$156</f>
        <v>#DIV/0!</v>
      </c>
      <c r="Y174" s="16"/>
      <c r="Z174" s="16" t="e">
        <f aca="false">SUMIFS(Z$44:Z$57, $A$44:$A$57,$A174, $C$44:$C$57, "Actual")/Z$156</f>
        <v>#DIV/0!</v>
      </c>
      <c r="AA174" s="16" t="n">
        <f aca="false">SUMIFS(AA$44:AA$57, $A$44:$A$57,$A174, $C$44:$C$57, "$ Actual")/AA$156</f>
        <v>0</v>
      </c>
      <c r="AB174" s="16" t="n">
        <f aca="false">SUMIFS(AB$44:AB$57, $A$44:$A$57,$A174, $C$44:$C$57, "$ Actual")/AB$156</f>
        <v>0</v>
      </c>
      <c r="AC174" s="16" t="e">
        <f aca="false">SUMIFS(AC$44:AC$57, $A$44:$A$57,$A174, $C$44:$C$57, "Actual")/AC$156</f>
        <v>#DIV/0!</v>
      </c>
      <c r="AD174" s="16" t="n">
        <f aca="false">SUMIFS(AD$44:AD$57, $A$44:$A$57,$A174, $C$44:$C$57, "$ Actual")/AD$156</f>
        <v>0</v>
      </c>
      <c r="AE174" s="16" t="n">
        <f aca="false">SUMIFS(AE$44:AE$57, $A$44:$A$57,$A174, $C$44:$C$57, "$ Actual")/AE$156</f>
        <v>0</v>
      </c>
      <c r="AF174" s="16" t="n">
        <f aca="false">SUMIFS(AF$44:AF$57, $A$44:$A$57,$A174, $C$44:$C$57, "$ Actual")/AF$156</f>
        <v>0</v>
      </c>
      <c r="AG174" s="16" t="n">
        <f aca="false">SUMIFS(AG$44:AG$57, $A$44:$A$57,$A174, $C$44:$C$57, "$ Actual")/AG$156</f>
        <v>0</v>
      </c>
      <c r="AH174" s="16" t="n">
        <f aca="false">SUMIFS(AH$44:AH$57, $A$44:$A$57,$A174, $C$44:$C$57, "$ Actual")/AH$156</f>
        <v>0</v>
      </c>
      <c r="AI174" s="16" t="n">
        <f aca="false">SUMIFS(AI$44:AI$57, $A$44:$A$57,$A174, $C$44:$C$57, "$ Actual")/AI$156</f>
        <v>0</v>
      </c>
      <c r="AJ174" s="16" t="e">
        <f aca="false">SUMIFS(AJ$44:AJ$57, $A$44:$A$57,$A174, $C$44:$C$57, "$ Actual")/AJ$156</f>
        <v>#DIV/0!</v>
      </c>
      <c r="AK174" s="16"/>
      <c r="AL174" s="16" t="n">
        <f aca="false">SUMIFS(AL$44:AL$57, $A$44:$A$57,$A174, $C$44:$C$57, "$ Actual")/AL$156</f>
        <v>0</v>
      </c>
      <c r="AM174" s="16" t="n">
        <f aca="false">SUMIFS(AM$44:AM$57, $A$44:$A$57,$A174, $C$44:$C$57, "$ Actual")/AM$156</f>
        <v>0</v>
      </c>
      <c r="AN174" s="16" t="n">
        <f aca="false">SUMIFS(AN$44:AN$57, $A$44:$A$57,$A174, $C$44:$C$57, "$ Actual")/AN$156</f>
        <v>0</v>
      </c>
      <c r="AO174" s="16" t="n">
        <f aca="false">SUMIFS(AO$44:AO$57, $A$44:$A$57,$A174, $C$44:$C$57, "$ Actual")/AO$156</f>
        <v>0</v>
      </c>
      <c r="AP174" s="16" t="n">
        <f aca="false">SUMIFS(AP$44:AP$57, $A$44:$A$57,$A174, $C$44:$C$57, "$ Actual")/AP$156</f>
        <v>0</v>
      </c>
      <c r="AQ174" s="16" t="n">
        <f aca="false">SUMIFS(AQ$44:AQ$57, $A$44:$A$57,$A174, $C$44:$C$57, "$ Actual")/AQ$156</f>
        <v>0</v>
      </c>
      <c r="AR174" s="16" t="n">
        <f aca="false">SUMIFS(AR$44:AR$57, $A$44:$A$57,$A174, $C$44:$C$57, "$ Actual")/AR$156</f>
        <v>0</v>
      </c>
      <c r="AS174" s="16" t="n">
        <f aca="false">SUMIFS(AS$44:AS$57, $A$44:$A$57,$A174, $C$44:$C$57, "$ Actual")/AS$156</f>
        <v>0.0697425811637556</v>
      </c>
      <c r="AT174" s="16" t="e">
        <f aca="false">SUMIFS(AT$44:AT$57, $A$44:$A$57,$A174, $C$44:$C$57, "$ Actual")/AT$156</f>
        <v>#DIV/0!</v>
      </c>
      <c r="AU174" s="16" t="e">
        <f aca="false">SUMIFS(AU$44:AU$57, $A$44:$A$57,$A174, $C$44:$C$57, "$ Actual")/AU$156</f>
        <v>#DIV/0!</v>
      </c>
      <c r="AV174" s="16"/>
      <c r="AW174" s="16"/>
      <c r="AX174" s="16"/>
      <c r="AY174" s="16" t="n">
        <f aca="false">SUMIFS(AY$44:AY$57, $A$44:$A$57,$A174, $C$44:$C$57, "$ Actual")/AY$156</f>
        <v>0.00209407444072297</v>
      </c>
      <c r="AZ174" s="16" t="n">
        <f aca="false">SUMIFS(AZ$44:AZ$57, $A$44:$A$57,$A174, $C$44:$C$57, "$ Actual")/AZ$156</f>
        <v>0.0015171519173123</v>
      </c>
      <c r="BA174" s="16" t="n">
        <f aca="false">SUMIFS(BA$44:BA$57, $A$44:$A$57,$A174, $C$44:$C$57, "$ Actual")/BA$156</f>
        <v>0.00733006317451354</v>
      </c>
      <c r="BB174" s="16" t="n">
        <f aca="false">SUMIFS(BB$44:BB$57, $A$44:$A$57,$A174, $C$44:$C$57, "$ Actual")/BB$156</f>
        <v>0</v>
      </c>
      <c r="BC174" s="16" t="n">
        <f aca="false">SUMIFS(BC$44:BC$57, $A$44:$A$57,$A174, $C$44:$C$57, "$ Actual")/BC$156</f>
        <v>0</v>
      </c>
      <c r="BD174" s="16"/>
      <c r="BE174" s="16" t="n">
        <f aca="false">SUMIFS(BE$44:BE$57, $A$44:$A$57,$A174, $C$44:$C$57, "$ Actual")/BE$156</f>
        <v>0.00264732335419853</v>
      </c>
    </row>
    <row r="175" customFormat="false" ht="12.75" hidden="false" customHeight="true" outlineLevel="0" collapsed="false">
      <c r="A175" s="1" t="s">
        <v>59</v>
      </c>
      <c r="B175" s="1" t="n">
        <v>2024</v>
      </c>
      <c r="C175" s="17" t="s">
        <v>82</v>
      </c>
      <c r="D175" s="16" t="n">
        <f aca="false">SUMIFS(D$44:D$57, $A$44:$A$57,$A175, $C$44:$C$57, "$ Actual")/D$156</f>
        <v>0.354343790055503</v>
      </c>
      <c r="E175" s="16" t="n">
        <f aca="false">SUMIFS(E$44:E$57, $A$44:$A$57,$A175, $C$44:$C$57, "$ Actual")/E$156</f>
        <v>0.33949163738715</v>
      </c>
      <c r="F175" s="16" t="n">
        <f aca="false">SUMIFS(F$44:F$57, $A$44:$A$57,$A175, $C$44:$C$57, "$ Actual")/F$156</f>
        <v>0.23315727011545</v>
      </c>
      <c r="G175" s="16" t="n">
        <f aca="false">SUMIFS(G$44:G$57, $A$44:$A$57,$A175, $C$44:$C$57, "$ Actual")/G$156</f>
        <v>0.302558902781382</v>
      </c>
      <c r="H175" s="16" t="n">
        <f aca="false">SUMIFS(H$44:H$57, $A$44:$A$57,$A175, $C$44:$C$57, "$ Actual")/H$156</f>
        <v>0.272515228786411</v>
      </c>
      <c r="I175" s="16" t="n">
        <f aca="false">SUMIFS(I$44:I$57, $A$44:$A$57,$A175, $C$44:$C$57, "$ Actual")/I$156</f>
        <v>0.279988604169069</v>
      </c>
      <c r="J175" s="16" t="n">
        <f aca="false">SUMIFS(J$44:J$57, $A$44:$A$57,$A175, $C$44:$C$57, "$ Actual")/J$156</f>
        <v>0.298708668216763</v>
      </c>
      <c r="K175" s="16" t="n">
        <f aca="false">SUMIFS(K$44:K$57, $A$44:$A$57,$A175, $C$44:$C$57, "$ Actual")/K$156</f>
        <v>0.452807646356033</v>
      </c>
      <c r="L175" s="16" t="n">
        <f aca="false">SUMIFS(L$44:L$57, $A$44:$A$57,$A175, $C$44:$C$57, "$ Actual")/L$156</f>
        <v>0.648359972729339</v>
      </c>
      <c r="M175" s="16" t="e">
        <f aca="false">SUMIFS(M$44:M$57, $A$44:$A$57,$A175, $C$44:$C$57, "$ Actual")/M$156</f>
        <v>#DIV/0!</v>
      </c>
      <c r="N175" s="16"/>
      <c r="O175" s="16" t="n">
        <f aca="false">SUMIFS(O$44:O$57, $A$44:$A$57,$A175, $C$44:$C$57, "$ Actual")/O$156</f>
        <v>0.286420273758449</v>
      </c>
      <c r="P175" s="16" t="n">
        <f aca="false">SUMIFS(P$44:P$57, $A$44:$A$57,$A175, $C$44:$C$57, "$ Actual")/P$156</f>
        <v>0.251478293110974</v>
      </c>
      <c r="Q175" s="16" t="n">
        <f aca="false">SUMIFS(Q$44:Q$57, $A$44:$A$57,$A175, $C$44:$C$57, "$ Actual")/Q$156</f>
        <v>0.27273222689734</v>
      </c>
      <c r="R175" s="16" t="n">
        <f aca="false">SUMIFS(R$44:R$57, $A$44:$A$57,$A175, $C$44:$C$57, "$ Actual")/R$156</f>
        <v>0.330236036916425</v>
      </c>
      <c r="S175" s="16" t="n">
        <f aca="false">SUMIFS(S$44:S$57, $A$44:$A$57,$A175, $C$44:$C$57, "$ Actual")/S$156</f>
        <v>0.273536485956102</v>
      </c>
      <c r="T175" s="16" t="n">
        <f aca="false">SUMIFS(T$44:T$57, $A$44:$A$57,$A175, $C$44:$C$57, "$ Actual")/T$156</f>
        <v>0.433696325708434</v>
      </c>
      <c r="U175" s="16" t="n">
        <f aca="false">SUMIFS(U$44:U$57, $A$44:$A$57,$A175, $C$44:$C$57, "$ Actual")/U$156</f>
        <v>0.323072194832878</v>
      </c>
      <c r="V175" s="16" t="n">
        <f aca="false">SUMIFS(V$44:V$57, $A$44:$A$57,$A175, $C$44:$C$57, "$ Actual")/V$156</f>
        <v>0.308729647409784</v>
      </c>
      <c r="W175" s="16" t="n">
        <f aca="false">SUMIFS(W$44:W$57, $A$44:$A$57,$A175, $C$44:$C$57, "$ Actual")/W$156</f>
        <v>0.30012453544646</v>
      </c>
      <c r="X175" s="16" t="e">
        <f aca="false">SUMIFS(X$44:X$57, $A$44:$A$57,$A175, $C$44:$C$57, "$ Actual")/X$156</f>
        <v>#DIV/0!</v>
      </c>
      <c r="Y175" s="16"/>
      <c r="Z175" s="16" t="e">
        <f aca="false">SUMIFS(Z$44:Z$57, $A$44:$A$57,$A175, $C$44:$C$57, "Actual")/Z$156</f>
        <v>#DIV/0!</v>
      </c>
      <c r="AA175" s="16" t="n">
        <f aca="false">SUMIFS(AA$44:AA$57, $A$44:$A$57,$A175, $C$44:$C$57, "$ Actual")/AA$156</f>
        <v>0.194480393253341</v>
      </c>
      <c r="AB175" s="16" t="n">
        <f aca="false">SUMIFS(AB$44:AB$57, $A$44:$A$57,$A175, $C$44:$C$57, "$ Actual")/AB$156</f>
        <v>0.340868485152053</v>
      </c>
      <c r="AC175" s="16" t="e">
        <f aca="false">SUMIFS(AC$44:AC$57, $A$44:$A$57,$A175, $C$44:$C$57, "Actual")/AC$156</f>
        <v>#DIV/0!</v>
      </c>
      <c r="AD175" s="16" t="n">
        <f aca="false">SUMIFS(AD$44:AD$57, $A$44:$A$57,$A175, $C$44:$C$57, "$ Actual")/AD$156</f>
        <v>0.326044793324214</v>
      </c>
      <c r="AE175" s="16" t="n">
        <f aca="false">SUMIFS(AE$44:AE$57, $A$44:$A$57,$A175, $C$44:$C$57, "$ Actual")/AE$156</f>
        <v>0.364995560539883</v>
      </c>
      <c r="AF175" s="16" t="n">
        <f aca="false">SUMIFS(AF$44:AF$57, $A$44:$A$57,$A175, $C$44:$C$57, "$ Actual")/AF$156</f>
        <v>0.257673474926102</v>
      </c>
      <c r="AG175" s="16" t="n">
        <f aca="false">SUMIFS(AG$44:AG$57, $A$44:$A$57,$A175, $C$44:$C$57, "$ Actual")/AG$156</f>
        <v>0.30061491967919</v>
      </c>
      <c r="AH175" s="16" t="n">
        <f aca="false">SUMIFS(AH$44:AH$57, $A$44:$A$57,$A175, $C$44:$C$57, "$ Actual")/AH$156</f>
        <v>0.262409284708903</v>
      </c>
      <c r="AI175" s="16" t="n">
        <f aca="false">SUMIFS(AI$44:AI$57, $A$44:$A$57,$A175, $C$44:$C$57, "$ Actual")/AI$156</f>
        <v>0.28246811240558</v>
      </c>
      <c r="AJ175" s="16" t="e">
        <f aca="false">SUMIFS(AJ$44:AJ$57, $A$44:$A$57,$A175, $C$44:$C$57, "$ Actual")/AJ$156</f>
        <v>#DIV/0!</v>
      </c>
      <c r="AK175" s="16"/>
      <c r="AL175" s="16" t="n">
        <f aca="false">SUMIFS(AL$44:AL$57, $A$44:$A$57,$A175, $C$44:$C$57, "$ Actual")/AL$156</f>
        <v>0.396996251984048</v>
      </c>
      <c r="AM175" s="16" t="n">
        <f aca="false">SUMIFS(AM$44:AM$57, $A$44:$A$57,$A175, $C$44:$C$57, "$ Actual")/AM$156</f>
        <v>0.598931157075755</v>
      </c>
      <c r="AN175" s="16" t="n">
        <f aca="false">SUMIFS(AN$44:AN$57, $A$44:$A$57,$A175, $C$44:$C$57, "$ Actual")/AN$156</f>
        <v>0.315805723924132</v>
      </c>
      <c r="AO175" s="16" t="n">
        <f aca="false">SUMIFS(AO$44:AO$57, $A$44:$A$57,$A175, $C$44:$C$57, "$ Actual")/AO$156</f>
        <v>0.297179691097708</v>
      </c>
      <c r="AP175" s="16" t="n">
        <f aca="false">SUMIFS(AP$44:AP$57, $A$44:$A$57,$A175, $C$44:$C$57, "$ Actual")/AP$156</f>
        <v>0.317334340012221</v>
      </c>
      <c r="AQ175" s="16" t="n">
        <f aca="false">SUMIFS(AQ$44:AQ$57, $A$44:$A$57,$A175, $C$44:$C$57, "$ Actual")/AQ$156</f>
        <v>0.334952601847034</v>
      </c>
      <c r="AR175" s="16" t="n">
        <f aca="false">SUMIFS(AR$44:AR$57, $A$44:$A$57,$A175, $C$44:$C$57, "$ Actual")/AR$156</f>
        <v>0.194167981420902</v>
      </c>
      <c r="AS175" s="16" t="n">
        <f aca="false">SUMIFS(AS$44:AS$57, $A$44:$A$57,$A175, $C$44:$C$57, "$ Actual")/AS$156</f>
        <v>0.690345168456777</v>
      </c>
      <c r="AT175" s="16" t="e">
        <f aca="false">SUMIFS(AT$44:AT$57, $A$44:$A$57,$A175, $C$44:$C$57, "$ Actual")/AT$156</f>
        <v>#DIV/0!</v>
      </c>
      <c r="AU175" s="16" t="e">
        <f aca="false">SUMIFS(AU$44:AU$57, $A$44:$A$57,$A175, $C$44:$C$57, "$ Actual")/AU$156</f>
        <v>#DIV/0!</v>
      </c>
      <c r="AV175" s="16"/>
      <c r="AW175" s="16"/>
      <c r="AX175" s="16"/>
      <c r="AY175" s="16" t="n">
        <f aca="false">SUMIFS(AY$44:AY$57, $A$44:$A$57,$A175, $C$44:$C$57, "$ Actual")/AY$156</f>
        <v>0.335917158069361</v>
      </c>
      <c r="AZ175" s="16" t="n">
        <f aca="false">SUMIFS(AZ$44:AZ$57, $A$44:$A$57,$A175, $C$44:$C$57, "$ Actual")/AZ$156</f>
        <v>0.299859799777089</v>
      </c>
      <c r="BA175" s="16" t="n">
        <f aca="false">SUMIFS(BA$44:BA$57, $A$44:$A$57,$A175, $C$44:$C$57, "$ Actual")/BA$156</f>
        <v>0.299898068808491</v>
      </c>
      <c r="BB175" s="16" t="n">
        <f aca="false">SUMIFS(BB$44:BB$57, $A$44:$A$57,$A175, $C$44:$C$57, "$ Actual")/BB$156</f>
        <v>0.266754105685655</v>
      </c>
      <c r="BC175" s="16" t="n">
        <f aca="false">SUMIFS(BC$44:BC$57, $A$44:$A$57,$A175, $C$44:$C$57, "$ Actual")/BC$156</f>
        <v>0.300166442709941</v>
      </c>
      <c r="BD175" s="16"/>
      <c r="BE175" s="16" t="n">
        <f aca="false">SUMIFS(BE$44:BE$57, $A$44:$A$57,$A175, $C$44:$C$57, "$ Actual")/BE$156</f>
        <v>0.308188141853776</v>
      </c>
    </row>
    <row r="176" customFormat="false" ht="12.75" hidden="false" customHeight="true" outlineLevel="0" collapsed="false">
      <c r="C176" s="17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6"/>
      <c r="AY176" s="18"/>
      <c r="AZ176" s="18"/>
      <c r="BA176" s="18"/>
      <c r="BB176" s="18"/>
      <c r="BC176" s="18"/>
      <c r="BD176" s="18"/>
      <c r="BE176" s="18"/>
    </row>
    <row r="177" customFormat="false" ht="12.75" hidden="false" customHeight="true" outlineLevel="0" collapsed="false">
      <c r="A177" s="1" t="s">
        <v>83</v>
      </c>
      <c r="B177" s="1" t="n">
        <v>2024</v>
      </c>
      <c r="C177" s="17" t="s">
        <v>84</v>
      </c>
      <c r="D177" s="18" t="n">
        <f aca="false">D45/260000</f>
        <v>4.56396923076923</v>
      </c>
      <c r="E177" s="18" t="n">
        <f aca="false">E45/260000</f>
        <v>2.19168846153846</v>
      </c>
      <c r="F177" s="18" t="n">
        <f aca="false">F45/260000</f>
        <v>3.51119615384615</v>
      </c>
      <c r="G177" s="18" t="n">
        <f aca="false">G45/260000</f>
        <v>2.58109615384615</v>
      </c>
      <c r="H177" s="18" t="n">
        <f aca="false">H45/260000</f>
        <v>3.99827307692308</v>
      </c>
      <c r="I177" s="18" t="n">
        <f aca="false">I45/260000</f>
        <v>6.94563076923077</v>
      </c>
      <c r="J177" s="18" t="n">
        <f aca="false">J45/260000</f>
        <v>6.29229615384615</v>
      </c>
      <c r="K177" s="18" t="n">
        <f aca="false">K45/260000</f>
        <v>0.00235769230769231</v>
      </c>
      <c r="L177" s="18" t="n">
        <f aca="false">L45/260000</f>
        <v>0</v>
      </c>
      <c r="M177" s="18"/>
      <c r="N177" s="18"/>
      <c r="O177" s="18" t="n">
        <f aca="false">O45/260000</f>
        <v>5.86658461538462</v>
      </c>
      <c r="P177" s="18" t="n">
        <f aca="false">P45/260000</f>
        <v>2.12495769230769</v>
      </c>
      <c r="Q177" s="18" t="n">
        <f aca="false">Q45/260000</f>
        <v>7.01405</v>
      </c>
      <c r="R177" s="18" t="n">
        <f aca="false">R45/260000</f>
        <v>0</v>
      </c>
      <c r="S177" s="18" t="n">
        <f aca="false">S45/260000</f>
        <v>2.01678076923077</v>
      </c>
      <c r="T177" s="18" t="n">
        <f aca="false">T45/260000</f>
        <v>2.25376923076923</v>
      </c>
      <c r="U177" s="18" t="n">
        <f aca="false">U45/260000</f>
        <v>1.83738461538462</v>
      </c>
      <c r="V177" s="18" t="n">
        <f aca="false">V45/260000</f>
        <v>1.00532692307692</v>
      </c>
      <c r="W177" s="18" t="n">
        <f aca="false">W45/260000</f>
        <v>0.513157692307692</v>
      </c>
      <c r="X177" s="18"/>
      <c r="Y177" s="18"/>
      <c r="Z177" s="18" t="n">
        <f aca="false">Z45/260000</f>
        <v>0</v>
      </c>
      <c r="AA177" s="18" t="n">
        <f aca="false">AA45/260000</f>
        <v>1.11896923076923</v>
      </c>
      <c r="AB177" s="18" t="n">
        <f aca="false">AB45/260000</f>
        <v>0</v>
      </c>
      <c r="AC177" s="18" t="n">
        <f aca="false">AC45/260000</f>
        <v>0</v>
      </c>
      <c r="AD177" s="18" t="n">
        <f aca="false">AD45/260000</f>
        <v>7.27778076923077</v>
      </c>
      <c r="AE177" s="18" t="n">
        <f aca="false">AE45/260000</f>
        <v>5.41904230769231</v>
      </c>
      <c r="AF177" s="18" t="n">
        <f aca="false">AF45/260000</f>
        <v>4.92506153846154</v>
      </c>
      <c r="AG177" s="18" t="n">
        <f aca="false">AG45/260000</f>
        <v>4.21249615384615</v>
      </c>
      <c r="AH177" s="18" t="n">
        <f aca="false">AH45/260000</f>
        <v>9.33088846153846</v>
      </c>
      <c r="AI177" s="18" t="n">
        <f aca="false">AI45/260000</f>
        <v>5.43245</v>
      </c>
      <c r="AJ177" s="18"/>
      <c r="AK177" s="18"/>
      <c r="AL177" s="18" t="n">
        <f aca="false">AL45/260000</f>
        <v>4.69818846153846</v>
      </c>
      <c r="AM177" s="18" t="n">
        <f aca="false">AM45/260000</f>
        <v>0</v>
      </c>
      <c r="AN177" s="18" t="n">
        <f aca="false">AN45/260000</f>
        <v>6.75356153846154</v>
      </c>
      <c r="AO177" s="18" t="n">
        <f aca="false">AO45/260000</f>
        <v>11.4526307692308</v>
      </c>
      <c r="AP177" s="18" t="n">
        <f aca="false">AP45/260000</f>
        <v>5.54616923076923</v>
      </c>
      <c r="AQ177" s="18" t="n">
        <f aca="false">AQ45/260000</f>
        <v>2.90824615384615</v>
      </c>
      <c r="AR177" s="18" t="n">
        <f aca="false">AR45/260000</f>
        <v>4.35851923076923</v>
      </c>
      <c r="AS177" s="18" t="n">
        <f aca="false">AS45/260000</f>
        <v>0</v>
      </c>
      <c r="AT177" s="18"/>
      <c r="AU177" s="18"/>
      <c r="AV177" s="18"/>
      <c r="AW177" s="18"/>
      <c r="AX177" s="16"/>
      <c r="AY177" s="18" t="n">
        <f aca="false">AY45/260000</f>
        <v>35.7173153846154</v>
      </c>
      <c r="AZ177" s="18" t="n">
        <f aca="false">AZ45/260000</f>
        <v>30.0865076923077</v>
      </c>
      <c r="BA177" s="18" t="n">
        <f aca="false">BA45/260000</f>
        <v>22.6320115384615</v>
      </c>
      <c r="BB177" s="18" t="n">
        <f aca="false">BB45/260000</f>
        <v>1.11896923076923</v>
      </c>
      <c r="BC177" s="18" t="n">
        <f aca="false">BC45/260000</f>
        <v>36.5977192307692</v>
      </c>
      <c r="BD177" s="18"/>
      <c r="BE177" s="18" t="n">
        <f aca="false">BE45/260000</f>
        <v>126.152523076923</v>
      </c>
    </row>
    <row r="178" customFormat="false" ht="12.75" hidden="false" customHeight="true" outlineLevel="0" collapsed="false">
      <c r="A178" s="1" t="s">
        <v>85</v>
      </c>
      <c r="B178" s="1" t="n">
        <v>2024</v>
      </c>
      <c r="C178" s="17" t="s">
        <v>84</v>
      </c>
      <c r="D178" s="18" t="n">
        <f aca="false">D47/160000</f>
        <v>2.25419375</v>
      </c>
      <c r="E178" s="18" t="n">
        <f aca="false">E47/160000</f>
        <v>0</v>
      </c>
      <c r="F178" s="18" t="n">
        <f aca="false">F47/160000</f>
        <v>0</v>
      </c>
      <c r="G178" s="18" t="n">
        <f aca="false">G47/160000</f>
        <v>4.67613125</v>
      </c>
      <c r="H178" s="18" t="n">
        <f aca="false">H47/160000</f>
        <v>5.95763125</v>
      </c>
      <c r="I178" s="18" t="n">
        <f aca="false">I47/160000</f>
        <v>5.0266125</v>
      </c>
      <c r="J178" s="18" t="n">
        <f aca="false">J47/160000</f>
        <v>3.282725</v>
      </c>
      <c r="K178" s="18" t="n">
        <f aca="false">K47/160000</f>
        <v>0</v>
      </c>
      <c r="L178" s="18" t="n">
        <f aca="false">L47/160000</f>
        <v>0</v>
      </c>
      <c r="M178" s="18"/>
      <c r="N178" s="18"/>
      <c r="O178" s="18" t="n">
        <f aca="false">O47/160000</f>
        <v>0.20089375</v>
      </c>
      <c r="P178" s="18" t="n">
        <f aca="false">P47/160000</f>
        <v>2.966125</v>
      </c>
      <c r="Q178" s="18" t="n">
        <f aca="false">Q47/160000</f>
        <v>2.59304375</v>
      </c>
      <c r="R178" s="18" t="n">
        <f aca="false">R47/160000</f>
        <v>0</v>
      </c>
      <c r="S178" s="18" t="n">
        <f aca="false">S47/160000</f>
        <v>2.8062625</v>
      </c>
      <c r="T178" s="18" t="n">
        <f aca="false">T47/160000</f>
        <v>1.180375</v>
      </c>
      <c r="U178" s="18" t="n">
        <f aca="false">U47/160000</f>
        <v>2.14478125</v>
      </c>
      <c r="V178" s="18" t="n">
        <f aca="false">V47/160000</f>
        <v>0</v>
      </c>
      <c r="W178" s="18" t="n">
        <f aca="false">W47/160000</f>
        <v>0.58539375</v>
      </c>
      <c r="X178" s="18"/>
      <c r="Y178" s="18"/>
      <c r="Z178" s="18" t="n">
        <f aca="false">Z47/160000</f>
        <v>0</v>
      </c>
      <c r="AA178" s="18" t="n">
        <f aca="false">AA47/160000</f>
        <v>1.39768125</v>
      </c>
      <c r="AB178" s="18" t="n">
        <f aca="false">AB47/160000</f>
        <v>0.3784125</v>
      </c>
      <c r="AC178" s="18" t="n">
        <f aca="false">AC47/160000</f>
        <v>0</v>
      </c>
      <c r="AD178" s="18" t="n">
        <f aca="false">AD47/160000</f>
        <v>3.5998125</v>
      </c>
      <c r="AE178" s="18" t="n">
        <f aca="false">AE47/160000</f>
        <v>4.5284</v>
      </c>
      <c r="AF178" s="18" t="n">
        <f aca="false">AF47/160000</f>
        <v>2.20825625</v>
      </c>
      <c r="AG178" s="18" t="n">
        <f aca="false">AG47/160000</f>
        <v>4.61409375</v>
      </c>
      <c r="AH178" s="18" t="n">
        <f aca="false">AH47/160000</f>
        <v>5.5467125</v>
      </c>
      <c r="AI178" s="18" t="n">
        <f aca="false">AI47/160000</f>
        <v>4.4470625</v>
      </c>
      <c r="AJ178" s="18"/>
      <c r="AK178" s="18"/>
      <c r="AL178" s="18" t="n">
        <f aca="false">AL47/160000</f>
        <v>1.25929375</v>
      </c>
      <c r="AM178" s="18" t="n">
        <f aca="false">AM47/160000</f>
        <v>0.4814</v>
      </c>
      <c r="AN178" s="18" t="n">
        <f aca="false">AN47/160000</f>
        <v>0</v>
      </c>
      <c r="AO178" s="18" t="n">
        <f aca="false">AO47/160000</f>
        <v>0</v>
      </c>
      <c r="AP178" s="18" t="n">
        <f aca="false">AP47/160000</f>
        <v>0.31815</v>
      </c>
      <c r="AQ178" s="18" t="n">
        <f aca="false">AQ47/160000</f>
        <v>0</v>
      </c>
      <c r="AR178" s="18" t="n">
        <f aca="false">AR47/160000</f>
        <v>3.1318375</v>
      </c>
      <c r="AS178" s="18" t="n">
        <f aca="false">AS47/160000</f>
        <v>0</v>
      </c>
      <c r="AT178" s="18"/>
      <c r="AU178" s="18"/>
      <c r="AV178" s="18"/>
      <c r="AW178" s="18"/>
      <c r="AX178" s="16"/>
      <c r="AY178" s="18" t="n">
        <f aca="false">AY47/160000</f>
        <v>5.19068125</v>
      </c>
      <c r="AZ178" s="18" t="n">
        <f aca="false">AZ47/160000</f>
        <v>21.19729375</v>
      </c>
      <c r="BA178" s="18" t="n">
        <f aca="false">BA47/160000</f>
        <v>12.476875</v>
      </c>
      <c r="BB178" s="18" t="n">
        <f aca="false">BB47/160000</f>
        <v>1.77609375</v>
      </c>
      <c r="BC178" s="18" t="n">
        <f aca="false">BC47/160000</f>
        <v>24.9443375</v>
      </c>
      <c r="BD178" s="18"/>
      <c r="BE178" s="18" t="n">
        <f aca="false">BE47/160000</f>
        <v>65.58528125</v>
      </c>
    </row>
    <row r="179" customFormat="false" ht="12.75" hidden="false" customHeight="true" outlineLevel="0" collapsed="false">
      <c r="A179" s="1" t="s">
        <v>86</v>
      </c>
      <c r="B179" s="1" t="n">
        <v>2024</v>
      </c>
      <c r="C179" s="17" t="s">
        <v>84</v>
      </c>
      <c r="D179" s="18" t="n">
        <f aca="false">D177+D178</f>
        <v>6.81816298076923</v>
      </c>
      <c r="E179" s="18" t="n">
        <f aca="false">E177+E178</f>
        <v>2.19168846153846</v>
      </c>
      <c r="F179" s="18" t="n">
        <f aca="false">F177+F178</f>
        <v>3.51119615384615</v>
      </c>
      <c r="G179" s="18" t="n">
        <f aca="false">G177+G178</f>
        <v>7.25722740384615</v>
      </c>
      <c r="H179" s="18" t="n">
        <f aca="false">H177+H178</f>
        <v>9.95590432692308</v>
      </c>
      <c r="I179" s="18" t="n">
        <f aca="false">I177+I178</f>
        <v>11.9722432692308</v>
      </c>
      <c r="J179" s="18" t="n">
        <f aca="false">J177+J178</f>
        <v>9.57502115384616</v>
      </c>
      <c r="K179" s="18" t="n">
        <f aca="false">K177+K178</f>
        <v>0.00235769230769231</v>
      </c>
      <c r="L179" s="18" t="n">
        <f aca="false">L177+L178</f>
        <v>0</v>
      </c>
      <c r="M179" s="18"/>
      <c r="N179" s="18"/>
      <c r="O179" s="18" t="n">
        <f aca="false">O177+O178</f>
        <v>6.06747836538462</v>
      </c>
      <c r="P179" s="18" t="n">
        <f aca="false">P177+P178</f>
        <v>5.09108269230769</v>
      </c>
      <c r="Q179" s="18" t="n">
        <f aca="false">Q177+Q178</f>
        <v>9.60709375</v>
      </c>
      <c r="R179" s="18" t="n">
        <f aca="false">R177+R178</f>
        <v>0</v>
      </c>
      <c r="S179" s="18" t="n">
        <f aca="false">S177+S178</f>
        <v>4.82304326923077</v>
      </c>
      <c r="T179" s="18" t="n">
        <f aca="false">T177+T178</f>
        <v>3.43414423076923</v>
      </c>
      <c r="U179" s="18" t="n">
        <f aca="false">U177+U178</f>
        <v>3.98216586538462</v>
      </c>
      <c r="V179" s="18" t="n">
        <f aca="false">V177+V178</f>
        <v>1.00532692307692</v>
      </c>
      <c r="W179" s="18" t="n">
        <f aca="false">W177+W178</f>
        <v>1.09855144230769</v>
      </c>
      <c r="X179" s="18"/>
      <c r="Y179" s="18"/>
      <c r="Z179" s="18" t="n">
        <f aca="false">Z177+Z178</f>
        <v>0</v>
      </c>
      <c r="AA179" s="18" t="n">
        <f aca="false">AA177+AA178</f>
        <v>2.51665048076923</v>
      </c>
      <c r="AB179" s="18" t="n">
        <f aca="false">AB177+AB178</f>
        <v>0.3784125</v>
      </c>
      <c r="AC179" s="18" t="n">
        <f aca="false">AC177+AC178</f>
        <v>0</v>
      </c>
      <c r="AD179" s="18" t="n">
        <f aca="false">AD177+AD178</f>
        <v>10.8775932692308</v>
      </c>
      <c r="AE179" s="18" t="n">
        <f aca="false">AE177+AE178</f>
        <v>9.94744230769231</v>
      </c>
      <c r="AF179" s="18" t="n">
        <f aca="false">AF177+AF178</f>
        <v>7.13331778846154</v>
      </c>
      <c r="AG179" s="18" t="n">
        <f aca="false">AG177+AG178</f>
        <v>8.82658990384616</v>
      </c>
      <c r="AH179" s="18" t="n">
        <f aca="false">AH177+AH178</f>
        <v>14.8776009615385</v>
      </c>
      <c r="AI179" s="18" t="n">
        <f aca="false">AI177+AI178</f>
        <v>9.8795125</v>
      </c>
      <c r="AJ179" s="18"/>
      <c r="AK179" s="18"/>
      <c r="AL179" s="18" t="n">
        <f aca="false">AL177+AL178</f>
        <v>5.95748221153846</v>
      </c>
      <c r="AM179" s="18" t="n">
        <f aca="false">AM177+AM178</f>
        <v>0.4814</v>
      </c>
      <c r="AN179" s="18" t="n">
        <f aca="false">AN177+AN178</f>
        <v>6.75356153846154</v>
      </c>
      <c r="AO179" s="18" t="n">
        <f aca="false">AO177+AO178</f>
        <v>11.4526307692308</v>
      </c>
      <c r="AP179" s="18" t="n">
        <f aca="false">AP177+AP178</f>
        <v>5.86431923076923</v>
      </c>
      <c r="AQ179" s="18" t="n">
        <f aca="false">AQ177+AQ178</f>
        <v>2.90824615384615</v>
      </c>
      <c r="AR179" s="18" t="n">
        <f aca="false">AR177+AR178</f>
        <v>7.49035673076923</v>
      </c>
      <c r="AS179" s="18" t="n">
        <f aca="false">AS177+AS178</f>
        <v>0</v>
      </c>
      <c r="AT179" s="18"/>
      <c r="AU179" s="18"/>
      <c r="AV179" s="18"/>
      <c r="AW179" s="18"/>
      <c r="AX179" s="18"/>
      <c r="AY179" s="18" t="n">
        <f aca="false">AY177+AY178</f>
        <v>40.9079966346154</v>
      </c>
      <c r="AZ179" s="18" t="n">
        <f aca="false">AZ177+AZ178</f>
        <v>51.2838014423077</v>
      </c>
      <c r="BA179" s="18" t="n">
        <f aca="false">BA177+BA178</f>
        <v>35.1088865384615</v>
      </c>
      <c r="BB179" s="18" t="n">
        <f aca="false">BB177+BB178</f>
        <v>2.89506298076923</v>
      </c>
      <c r="BC179" s="18" t="n">
        <f aca="false">BC177+BC178</f>
        <v>61.5420567307692</v>
      </c>
      <c r="BD179" s="18"/>
      <c r="BE179" s="18" t="n">
        <f aca="false">BE177+BE178</f>
        <v>191.737804326923</v>
      </c>
    </row>
    <row r="180" customFormat="false" ht="12.75" hidden="false" customHeight="true" outlineLevel="0" collapsed="false">
      <c r="A180" s="1" t="s">
        <v>87</v>
      </c>
      <c r="B180" s="1" t="n">
        <v>2024</v>
      </c>
      <c r="C180" s="17" t="s">
        <v>84</v>
      </c>
      <c r="D180" s="18" t="n">
        <f aca="false">D49/100000</f>
        <v>14.41835</v>
      </c>
      <c r="E180" s="18" t="n">
        <f aca="false">E49/100000</f>
        <v>8.31463</v>
      </c>
      <c r="F180" s="18" t="n">
        <f aca="false">F49/100000</f>
        <v>12.51876</v>
      </c>
      <c r="G180" s="18" t="n">
        <f aca="false">G49/100000</f>
        <v>12.30401</v>
      </c>
      <c r="H180" s="18" t="n">
        <f aca="false">H49/100000</f>
        <v>11.86495</v>
      </c>
      <c r="I180" s="18" t="n">
        <f aca="false">I49/100000</f>
        <v>19.69218</v>
      </c>
      <c r="J180" s="18" t="n">
        <f aca="false">J49/100000</f>
        <v>17.79866</v>
      </c>
      <c r="K180" s="18" t="n">
        <f aca="false">K49/100000</f>
        <v>1.01063</v>
      </c>
      <c r="L180" s="18" t="n">
        <f aca="false">L49/100000</f>
        <v>0.60346</v>
      </c>
      <c r="M180" s="18"/>
      <c r="N180" s="18"/>
      <c r="O180" s="18" t="n">
        <f aca="false">O49/100000</f>
        <v>12.00259</v>
      </c>
      <c r="P180" s="18" t="n">
        <f aca="false">P49/100000</f>
        <v>17.95101</v>
      </c>
      <c r="Q180" s="18" t="n">
        <f aca="false">Q49/100000</f>
        <v>19.29922</v>
      </c>
      <c r="R180" s="18" t="n">
        <f aca="false">R49/100000</f>
        <v>4.77717</v>
      </c>
      <c r="S180" s="18" t="n">
        <f aca="false">S49/100000</f>
        <v>12.77486</v>
      </c>
      <c r="T180" s="18" t="n">
        <f aca="false">T49/100000</f>
        <v>8.3346</v>
      </c>
      <c r="U180" s="18" t="n">
        <f aca="false">U49/100000</f>
        <v>10.08646</v>
      </c>
      <c r="V180" s="18" t="n">
        <f aca="false">V49/100000</f>
        <v>10.54444</v>
      </c>
      <c r="W180" s="18" t="n">
        <f aca="false">W49/100000</f>
        <v>7.96104</v>
      </c>
      <c r="X180" s="18"/>
      <c r="Y180" s="18"/>
      <c r="Z180" s="18" t="n">
        <f aca="false">Z49/100000</f>
        <v>0</v>
      </c>
      <c r="AA180" s="18" t="n">
        <f aca="false">AA49/100000</f>
        <v>4.21451</v>
      </c>
      <c r="AB180" s="18" t="n">
        <f aca="false">AB49/100000</f>
        <v>5.02185</v>
      </c>
      <c r="AC180" s="18" t="n">
        <f aca="false">AC49/100000</f>
        <v>0</v>
      </c>
      <c r="AD180" s="18" t="n">
        <f aca="false">AD49/100000</f>
        <v>11.15797</v>
      </c>
      <c r="AE180" s="18" t="n">
        <f aca="false">AE49/100000</f>
        <v>13.37024</v>
      </c>
      <c r="AF180" s="18" t="n">
        <f aca="false">AF49/100000</f>
        <v>7.71879</v>
      </c>
      <c r="AG180" s="18" t="n">
        <f aca="false">AG49/100000</f>
        <v>15.25397</v>
      </c>
      <c r="AH180" s="18" t="n">
        <f aca="false">AH49/100000</f>
        <v>17.20342</v>
      </c>
      <c r="AI180" s="18" t="n">
        <f aca="false">AI49/100000</f>
        <v>15.76724</v>
      </c>
      <c r="AJ180" s="18"/>
      <c r="AK180" s="18"/>
      <c r="AL180" s="18" t="n">
        <f aca="false">AL49/100000</f>
        <v>7.84767</v>
      </c>
      <c r="AM180" s="18" t="n">
        <f aca="false">AM49/100000</f>
        <v>3.49812</v>
      </c>
      <c r="AN180" s="18" t="n">
        <f aca="false">AN49/100000</f>
        <v>11.2731</v>
      </c>
      <c r="AO180" s="18" t="n">
        <f aca="false">AO49/100000</f>
        <v>20.00907</v>
      </c>
      <c r="AP180" s="18" t="n">
        <f aca="false">AP49/100000</f>
        <v>13.06178</v>
      </c>
      <c r="AQ180" s="18" t="n">
        <f aca="false">AQ49/100000</f>
        <v>13.88975</v>
      </c>
      <c r="AR180" s="18" t="n">
        <f aca="false">AR49/100000</f>
        <v>15.96966</v>
      </c>
      <c r="AS180" s="18" t="n">
        <f aca="false">AS49/100000</f>
        <v>2.01957</v>
      </c>
      <c r="AT180" s="18"/>
      <c r="AU180" s="18"/>
      <c r="AV180" s="18"/>
      <c r="AW180" s="18"/>
      <c r="AX180" s="16"/>
      <c r="AY180" s="18" t="n">
        <f aca="false">AY49/100000</f>
        <v>87.56872</v>
      </c>
      <c r="AZ180" s="18" t="n">
        <f aca="false">AZ49/100000</f>
        <v>98.52563</v>
      </c>
      <c r="BA180" s="18" t="n">
        <f aca="false">BA49/100000</f>
        <v>103.73139</v>
      </c>
      <c r="BB180" s="18" t="n">
        <f aca="false">BB49/100000</f>
        <v>9.23636</v>
      </c>
      <c r="BC180" s="18" t="n">
        <f aca="false">BC49/100000</f>
        <v>80.47163</v>
      </c>
      <c r="BD180" s="18"/>
      <c r="BE180" s="18" t="n">
        <f aca="false">BE49/100000</f>
        <v>379.53373</v>
      </c>
    </row>
    <row r="181" customFormat="false" ht="12.75" hidden="false" customHeight="true" outlineLevel="0" collapsed="false">
      <c r="A181" s="1" t="s">
        <v>88</v>
      </c>
      <c r="B181" s="1" t="n">
        <v>2024</v>
      </c>
      <c r="C181" s="17" t="s">
        <v>84</v>
      </c>
      <c r="D181" s="18" t="n">
        <f aca="false">D180/(D177+D178)</f>
        <v>2.11469717586207</v>
      </c>
      <c r="E181" s="18" t="n">
        <f aca="false">E180/(E177+E178)</f>
        <v>3.79370980224239</v>
      </c>
      <c r="F181" s="18" t="n">
        <f aca="false">F180/(F177+F178)</f>
        <v>3.56538326299059</v>
      </c>
      <c r="G181" s="18" t="n">
        <f aca="false">G180/(G177+G178)</f>
        <v>1.69541469700662</v>
      </c>
      <c r="H181" s="18" t="n">
        <f aca="false">H180/(H177+H178)</f>
        <v>1.19175010229</v>
      </c>
      <c r="I181" s="18" t="n">
        <f aca="false">I180/(I177+I178)</f>
        <v>1.64481956782568</v>
      </c>
      <c r="J181" s="18" t="n">
        <f aca="false">J180/(J177+J178)</f>
        <v>1.85886377836884</v>
      </c>
      <c r="K181" s="18" t="n">
        <f aca="false">K180/(K177+K178)</f>
        <v>428.65220228385</v>
      </c>
      <c r="L181" s="18" t="e">
        <f aca="false">L180/(L177+L178)</f>
        <v>#DIV/0!</v>
      </c>
      <c r="M181" s="18"/>
      <c r="N181" s="18"/>
      <c r="O181" s="18" t="n">
        <f aca="false">O180/(O177+O178)</f>
        <v>1.97818422698886</v>
      </c>
      <c r="P181" s="18" t="n">
        <f aca="false">P180/(P177+P178)</f>
        <v>3.52597101341977</v>
      </c>
      <c r="Q181" s="18" t="n">
        <f aca="false">Q180/(Q177+Q178)</f>
        <v>2.00885101178491</v>
      </c>
      <c r="R181" s="18" t="e">
        <f aca="false">R180/(R177+R178)</f>
        <v>#DIV/0!</v>
      </c>
      <c r="S181" s="18" t="n">
        <f aca="false">S180/(S177+S178)</f>
        <v>2.64871353767421</v>
      </c>
      <c r="T181" s="18" t="n">
        <f aca="false">T180/(T177+T178)</f>
        <v>2.42698018485179</v>
      </c>
      <c r="U181" s="18" t="n">
        <f aca="false">U180/(U177+U178)</f>
        <v>2.53290805580892</v>
      </c>
      <c r="V181" s="18" t="n">
        <f aca="false">V180/(V177+V178)</f>
        <v>10.4885682039903</v>
      </c>
      <c r="W181" s="18" t="n">
        <f aca="false">W180/(W177+W178)</f>
        <v>7.24685225780278</v>
      </c>
      <c r="X181" s="18"/>
      <c r="Y181" s="18"/>
      <c r="Z181" s="18" t="e">
        <f aca="false">Z180/(Z177+Z178)</f>
        <v>#DIV/0!</v>
      </c>
      <c r="AA181" s="18" t="n">
        <f aca="false">AA180/(AA177+AA178)</f>
        <v>1.67465050558463</v>
      </c>
      <c r="AB181" s="18" t="n">
        <f aca="false">AB180/(AB177+AB178)</f>
        <v>13.2708353978793</v>
      </c>
      <c r="AC181" s="18" t="e">
        <f aca="false">AC180/(AC177+AC178)</f>
        <v>#DIV/0!</v>
      </c>
      <c r="AD181" s="18" t="n">
        <f aca="false">AD180/(AD177+AD178)</f>
        <v>1.02577562185215</v>
      </c>
      <c r="AE181" s="18" t="n">
        <f aca="false">AE180/(AE177+AE178)</f>
        <v>1.34408821749696</v>
      </c>
      <c r="AF181" s="18" t="n">
        <f aca="false">AF180/(AF177+AF178)</f>
        <v>1.08207572253202</v>
      </c>
      <c r="AG181" s="18" t="n">
        <f aca="false">AG180/(AG177+AG178)</f>
        <v>1.72818383613281</v>
      </c>
      <c r="AH181" s="18" t="n">
        <f aca="false">AH180/(AH177+AH178)</f>
        <v>1.1563302473614</v>
      </c>
      <c r="AI181" s="18" t="n">
        <f aca="false">AI180/(AI177+AI178)</f>
        <v>1.59595324161997</v>
      </c>
      <c r="AJ181" s="18"/>
      <c r="AK181" s="18"/>
      <c r="AL181" s="18" t="n">
        <f aca="false">AL180/(AL177+AL178)</f>
        <v>1.31727963615244</v>
      </c>
      <c r="AM181" s="18" t="n">
        <f aca="false">AM180/(AM177+AM178)</f>
        <v>7.26655587868716</v>
      </c>
      <c r="AN181" s="18" t="n">
        <f aca="false">AN180/(AN177+AN178)</f>
        <v>1.66920815569677</v>
      </c>
      <c r="AO181" s="18" t="n">
        <f aca="false">AO180/(AO177+AO178)</f>
        <v>1.7471156106558</v>
      </c>
      <c r="AP181" s="18" t="n">
        <f aca="false">AP180/(AP177+AP178)</f>
        <v>2.22733099717129</v>
      </c>
      <c r="AQ181" s="18" t="n">
        <f aca="false">AQ180/(AQ177+AQ178)</f>
        <v>4.77598843606509</v>
      </c>
      <c r="AR181" s="18" t="n">
        <f aca="false">AR180/(AR177+AR178)</f>
        <v>2.13202929767004</v>
      </c>
      <c r="AS181" s="18" t="e">
        <f aca="false">AS180/(AS177+AS178)</f>
        <v>#DIV/0!</v>
      </c>
      <c r="AT181" s="18"/>
      <c r="AU181" s="18"/>
      <c r="AV181" s="18"/>
      <c r="AW181" s="18"/>
      <c r="AX181" s="16"/>
      <c r="AY181" s="18" t="n">
        <f aca="false">AY180/(AY177+AY178)</f>
        <v>2.14062597056883</v>
      </c>
      <c r="AZ181" s="18" t="n">
        <f aca="false">AZ180/(AZ177+AZ178)</f>
        <v>1.92118421858484</v>
      </c>
      <c r="BA181" s="18" t="n">
        <f aca="false">BA180/(BA177+BA178)</f>
        <v>2.95456222704081</v>
      </c>
      <c r="BB181" s="18" t="n">
        <f aca="false">BB180/(BB177+BB178)</f>
        <v>3.19038309748476</v>
      </c>
      <c r="BC181" s="18" t="n">
        <f aca="false">BC180/(BC177+BC178)</f>
        <v>1.30758759578093</v>
      </c>
      <c r="BD181" s="18"/>
      <c r="BE181" s="18" t="n">
        <f aca="false">BE180/(BE177+BE178)</f>
        <v>1.97944130700941</v>
      </c>
    </row>
    <row r="182" customFormat="false" ht="12.75" hidden="false" customHeight="true" outlineLevel="0" collapsed="false">
      <c r="C182" s="17"/>
      <c r="D182" s="18" t="e">
        <f aca="false">#ref!/100000</f>
        <v>#NAME?</v>
      </c>
      <c r="E182" s="18" t="e">
        <f aca="false">#ref!/100000</f>
        <v>#NAME?</v>
      </c>
      <c r="F182" s="18" t="e">
        <f aca="false">#ref!/100000</f>
        <v>#NAME?</v>
      </c>
      <c r="G182" s="18" t="e">
        <f aca="false">#ref!/100000</f>
        <v>#NAME?</v>
      </c>
      <c r="H182" s="18" t="e">
        <f aca="false">#ref!/100000</f>
        <v>#NAME?</v>
      </c>
      <c r="I182" s="18" t="e">
        <f aca="false">#ref!/100000</f>
        <v>#NAME?</v>
      </c>
      <c r="J182" s="18" t="e">
        <f aca="false">#ref!/100000</f>
        <v>#NAME?</v>
      </c>
      <c r="K182" s="18" t="e">
        <f aca="false">#ref!/100000</f>
        <v>#NAME?</v>
      </c>
      <c r="L182" s="18" t="e">
        <f aca="false">#ref!/100000</f>
        <v>#NAME?</v>
      </c>
      <c r="M182" s="18"/>
      <c r="N182" s="18"/>
      <c r="O182" s="18" t="e">
        <f aca="false">#ref!/100000</f>
        <v>#NAME?</v>
      </c>
      <c r="P182" s="18" t="e">
        <f aca="false">#ref!/100000</f>
        <v>#NAME?</v>
      </c>
      <c r="Q182" s="18" t="e">
        <f aca="false">#ref!/100000</f>
        <v>#NAME?</v>
      </c>
      <c r="R182" s="18" t="e">
        <f aca="false">#ref!/100000</f>
        <v>#NAME?</v>
      </c>
      <c r="S182" s="18" t="e">
        <f aca="false">#ref!/100000</f>
        <v>#NAME?</v>
      </c>
      <c r="T182" s="18" t="e">
        <f aca="false">#ref!/100000</f>
        <v>#NAME?</v>
      </c>
      <c r="U182" s="18" t="e">
        <f aca="false">#ref!/100000</f>
        <v>#NAME?</v>
      </c>
      <c r="V182" s="18" t="e">
        <f aca="false">#ref!/100000</f>
        <v>#NAME?</v>
      </c>
      <c r="W182" s="18" t="e">
        <f aca="false">#ref!/100000</f>
        <v>#NAME?</v>
      </c>
      <c r="X182" s="18"/>
      <c r="Y182" s="18"/>
      <c r="Z182" s="18" t="e">
        <f aca="false">#ref!/100000</f>
        <v>#NAME?</v>
      </c>
      <c r="AA182" s="18" t="e">
        <f aca="false">#ref!/100000</f>
        <v>#NAME?</v>
      </c>
      <c r="AB182" s="18" t="e">
        <f aca="false">#ref!/100000</f>
        <v>#NAME?</v>
      </c>
      <c r="AC182" s="18" t="e">
        <f aca="false">#ref!/100000</f>
        <v>#NAME?</v>
      </c>
      <c r="AD182" s="18" t="e">
        <f aca="false">#ref!/100000</f>
        <v>#NAME?</v>
      </c>
      <c r="AE182" s="18" t="e">
        <f aca="false">#ref!/100000</f>
        <v>#NAME?</v>
      </c>
      <c r="AF182" s="18" t="e">
        <f aca="false">#ref!/100000</f>
        <v>#NAME?</v>
      </c>
      <c r="AG182" s="18" t="e">
        <f aca="false">#ref!/100000</f>
        <v>#NAME?</v>
      </c>
      <c r="AH182" s="18" t="e">
        <f aca="false">#ref!/100000</f>
        <v>#NAME?</v>
      </c>
      <c r="AI182" s="18" t="e">
        <f aca="false">#ref!/100000</f>
        <v>#NAME?</v>
      </c>
      <c r="AJ182" s="18"/>
      <c r="AK182" s="18"/>
      <c r="AL182" s="18" t="e">
        <f aca="false">#ref!/100000</f>
        <v>#NAME?</v>
      </c>
      <c r="AM182" s="18" t="e">
        <f aca="false">#ref!/100000</f>
        <v>#NAME?</v>
      </c>
      <c r="AN182" s="18" t="e">
        <f aca="false">#ref!/100000</f>
        <v>#NAME?</v>
      </c>
      <c r="AO182" s="18" t="e">
        <f aca="false">#ref!/100000</f>
        <v>#NAME?</v>
      </c>
      <c r="AP182" s="18" t="e">
        <f aca="false">#ref!/100000</f>
        <v>#NAME?</v>
      </c>
      <c r="AQ182" s="18" t="e">
        <f aca="false">#ref!/100000</f>
        <v>#NAME?</v>
      </c>
      <c r="AR182" s="18" t="e">
        <f aca="false">#ref!/100000</f>
        <v>#NAME?</v>
      </c>
      <c r="AS182" s="18" t="e">
        <f aca="false">#ref!/100000</f>
        <v>#NAME?</v>
      </c>
      <c r="AT182" s="18"/>
      <c r="AU182" s="18"/>
      <c r="AV182" s="18"/>
      <c r="AW182" s="18"/>
      <c r="AX182" s="16"/>
      <c r="AY182" s="18"/>
      <c r="AZ182" s="18"/>
      <c r="BA182" s="18"/>
      <c r="BB182" s="18"/>
      <c r="BC182" s="18"/>
      <c r="BD182" s="18"/>
      <c r="BE182" s="18"/>
    </row>
    <row r="183" customFormat="false" ht="12.75" hidden="false" customHeight="true" outlineLevel="0" collapsed="false">
      <c r="A183" s="1" t="s">
        <v>89</v>
      </c>
      <c r="B183" s="1" t="n">
        <v>2024</v>
      </c>
      <c r="C183" s="17" t="s">
        <v>53</v>
      </c>
      <c r="D183" s="18" t="n">
        <f aca="false">D156/D58</f>
        <v>229.533401373168</v>
      </c>
      <c r="E183" s="18" t="n">
        <f aca="false">E156/E58</f>
        <v>203.961962040147</v>
      </c>
      <c r="F183" s="18" t="n">
        <f aca="false">F156/F58</f>
        <v>164.229612828357</v>
      </c>
      <c r="G183" s="18" t="n">
        <f aca="false">G156/G58</f>
        <v>185.122000256663</v>
      </c>
      <c r="H183" s="18" t="n">
        <f aca="false">H156/H58</f>
        <v>225.332725929574</v>
      </c>
      <c r="I183" s="18" t="n">
        <f aca="false">I156/I58</f>
        <v>145.268371023048</v>
      </c>
      <c r="J183" s="18" t="n">
        <f aca="false">J156/J58</f>
        <v>160.073966623877</v>
      </c>
      <c r="K183" s="18" t="n">
        <f aca="false">K156/K58</f>
        <v>1336.79136690647</v>
      </c>
      <c r="L183" s="18" t="e">
        <f aca="false">L156/L58</f>
        <v>#DIV/0!</v>
      </c>
      <c r="M183" s="18"/>
      <c r="N183" s="18"/>
      <c r="O183" s="18" t="n">
        <f aca="false">O156/O58</f>
        <v>124.472570360598</v>
      </c>
      <c r="P183" s="18" t="n">
        <f aca="false">P156/P58</f>
        <v>207.684217780841</v>
      </c>
      <c r="Q183" s="18" t="n">
        <f aca="false">Q156/Q58</f>
        <v>128.950192104792</v>
      </c>
      <c r="R183" s="18" t="n">
        <f aca="false">R156/R58</f>
        <v>247.110286677909</v>
      </c>
      <c r="S183" s="18" t="n">
        <f aca="false">S156/S58</f>
        <v>153.49810766973</v>
      </c>
      <c r="T183" s="18" t="n">
        <f aca="false">T156/T58</f>
        <v>207.71393389501</v>
      </c>
      <c r="U183" s="18" t="n">
        <f aca="false">U156/U58</f>
        <v>160.290217099973</v>
      </c>
      <c r="V183" s="18" t="n">
        <f aca="false">V156/V58</f>
        <v>264.806824216676</v>
      </c>
      <c r="W183" s="18" t="n">
        <f aca="false">W156/W58</f>
        <v>323.565914866582</v>
      </c>
      <c r="X183" s="18"/>
      <c r="Y183" s="18"/>
      <c r="Z183" s="18" t="e">
        <f aca="false">Z156/Z58</f>
        <v>#DIV/0!</v>
      </c>
      <c r="AA183" s="18" t="n">
        <f aca="false">AA156/AA58</f>
        <v>241.700809121</v>
      </c>
      <c r="AB183" s="18" t="n">
        <f aca="false">AB156/AB58</f>
        <v>41.1958345386173</v>
      </c>
      <c r="AC183" s="18" t="e">
        <f aca="false">AC156/AC58</f>
        <v>#DIV/0!</v>
      </c>
      <c r="AD183" s="18" t="n">
        <f aca="false">AD156/AD58</f>
        <v>233.37192258744</v>
      </c>
      <c r="AE183" s="18" t="n">
        <f aca="false">AE156/AE58</f>
        <v>276.230492663492</v>
      </c>
      <c r="AF183" s="18" t="n">
        <f aca="false">AF156/AF58</f>
        <v>158.137809840918</v>
      </c>
      <c r="AG183" s="18" t="n">
        <f aca="false">AG156/AG58</f>
        <v>222.485300076539</v>
      </c>
      <c r="AH183" s="18" t="n">
        <f aca="false">AH156/AH58</f>
        <v>212.371780348199</v>
      </c>
      <c r="AI183" s="18" t="n">
        <f aca="false">AI156/AI58</f>
        <v>226.329886378144</v>
      </c>
      <c r="AJ183" s="18"/>
      <c r="AK183" s="18"/>
      <c r="AL183" s="18" t="n">
        <f aca="false">AL156/AL58</f>
        <v>218.085649644473</v>
      </c>
      <c r="AM183" s="18" t="n">
        <f aca="false">AM156/AM58</f>
        <v>93.8264285714286</v>
      </c>
      <c r="AN183" s="18" t="n">
        <f aca="false">AN156/AN58</f>
        <v>240.987688984881</v>
      </c>
      <c r="AO183" s="18" t="n">
        <f aca="false">AO156/AO58</f>
        <v>147.772209739242</v>
      </c>
      <c r="AP183" s="18" t="n">
        <f aca="false">AP156/AP58</f>
        <v>234.108688961838</v>
      </c>
      <c r="AQ183" s="18" t="n">
        <f aca="false">AQ156/AQ58</f>
        <v>305.432838095238</v>
      </c>
      <c r="AR183" s="18" t="n">
        <f aca="false">AR156/AR58</f>
        <v>223.503964045852</v>
      </c>
      <c r="AS183" s="18" t="n">
        <f aca="false">AS156/AS58</f>
        <v>539.900278551532</v>
      </c>
      <c r="AT183" s="18"/>
      <c r="AU183" s="18"/>
      <c r="AV183" s="18"/>
      <c r="AW183" s="18"/>
      <c r="AX183" s="16"/>
      <c r="AY183" s="18" t="n">
        <f aca="false">AY156/AY58</f>
        <v>195.301529673734</v>
      </c>
      <c r="AZ183" s="18" t="n">
        <f aca="false">AZ156/AZ58</f>
        <v>180.393564111854</v>
      </c>
      <c r="BA183" s="18" t="n">
        <f aca="false">BA156/BA58</f>
        <v>165.818402181598</v>
      </c>
      <c r="BB183" s="18" t="n">
        <f aca="false">BB156/BB58</f>
        <v>71.0266476977374</v>
      </c>
      <c r="BC183" s="18" t="n">
        <f aca="false">BC156/BC58</f>
        <v>220.501916850957</v>
      </c>
      <c r="BD183" s="18"/>
      <c r="BE183" s="18" t="n">
        <f aca="false">BE156/BE58</f>
        <v>182.501375729919</v>
      </c>
    </row>
    <row r="184" customFormat="false" ht="12.75" hidden="false" customHeight="true" outlineLevel="0" collapsed="false">
      <c r="A184" s="1" t="s">
        <v>90</v>
      </c>
      <c r="B184" s="1" t="n">
        <v>2024</v>
      </c>
      <c r="C184" s="17" t="s">
        <v>53</v>
      </c>
      <c r="D184" s="18" t="n">
        <f aca="false">D57/D58</f>
        <v>81.3337353868992</v>
      </c>
      <c r="E184" s="18" t="n">
        <f aca="false">E57/E58</f>
        <v>69.2433804577052</v>
      </c>
      <c r="F184" s="18" t="n">
        <f aca="false">F57/F58</f>
        <v>38.2913281991771</v>
      </c>
      <c r="G184" s="18" t="n">
        <f aca="false">G57/G58</f>
        <v>56.0103092783505</v>
      </c>
      <c r="H184" s="18" t="n">
        <f aca="false">H57/H58</f>
        <v>61.4065993597636</v>
      </c>
      <c r="I184" s="18" t="n">
        <f aca="false">I57/I58</f>
        <v>40.6734884326577</v>
      </c>
      <c r="J184" s="18" t="n">
        <f aca="false">J57/J58</f>
        <v>47.8154813863928</v>
      </c>
      <c r="K184" s="18" t="n">
        <f aca="false">K57/K58</f>
        <v>605.309352517986</v>
      </c>
      <c r="L184" s="18" t="e">
        <f aca="false">L57/L58</f>
        <v>#DIV/0!</v>
      </c>
      <c r="M184" s="18"/>
      <c r="N184" s="18"/>
      <c r="O184" s="18" t="n">
        <f aca="false">O57/O58</f>
        <v>35.6514676781003</v>
      </c>
      <c r="P184" s="18" t="n">
        <f aca="false">P57/P58</f>
        <v>52.2280725936136</v>
      </c>
      <c r="Q184" s="18" t="n">
        <f aca="false">Q57/Q58</f>
        <v>35.1688730515796</v>
      </c>
      <c r="R184" s="18" t="n">
        <f aca="false">R57/R58</f>
        <v>81.6047217537943</v>
      </c>
      <c r="S184" s="18" t="n">
        <f aca="false">S57/S58</f>
        <v>41.9873329728895</v>
      </c>
      <c r="T184" s="18" t="n">
        <f aca="false">T57/T58</f>
        <v>90.0847699287103</v>
      </c>
      <c r="U184" s="18" t="n">
        <f aca="false">U57/U58</f>
        <v>51.7853122487269</v>
      </c>
      <c r="V184" s="18" t="n">
        <f aca="false">V57/V58</f>
        <v>81.753717472119</v>
      </c>
      <c r="W184" s="18" t="n">
        <f aca="false">W57/W58</f>
        <v>97.1100698856417</v>
      </c>
      <c r="X184" s="18"/>
      <c r="Y184" s="18"/>
      <c r="Z184" s="18" t="e">
        <f aca="false">Z57/Z58</f>
        <v>#DIV/0!</v>
      </c>
      <c r="AA184" s="18" t="n">
        <f aca="false">AA57/AA58</f>
        <v>47.0060684075028</v>
      </c>
      <c r="AB184" s="18" t="n">
        <f aca="false">AB57/AB58</f>
        <v>14.0423617137531</v>
      </c>
      <c r="AC184" s="18" t="e">
        <f aca="false">AC57/AC58</f>
        <v>#DIV/0!</v>
      </c>
      <c r="AD184" s="18" t="n">
        <f aca="false">AD57/AD58</f>
        <v>76.0897002676965</v>
      </c>
      <c r="AE184" s="18" t="n">
        <f aca="false">AE57/AE58</f>
        <v>100.82290350792</v>
      </c>
      <c r="AF184" s="18" t="n">
        <f aca="false">AF57/AF58</f>
        <v>40.7479189789123</v>
      </c>
      <c r="AG184" s="18" t="n">
        <f aca="false">AG57/AG58</f>
        <v>66.8824006123092</v>
      </c>
      <c r="AH184" s="18" t="n">
        <f aca="false">AH57/AH58</f>
        <v>55.7283269735273</v>
      </c>
      <c r="AI184" s="18" t="n">
        <f aca="false">AI57/AI58</f>
        <v>63.9309757862037</v>
      </c>
      <c r="AJ184" s="18"/>
      <c r="AK184" s="18"/>
      <c r="AL184" s="18" t="n">
        <f aca="false">AL57/AL58</f>
        <v>86.579185520362</v>
      </c>
      <c r="AM184" s="18" t="n">
        <f aca="false">AM57/AM58</f>
        <v>56.1955714285714</v>
      </c>
      <c r="AN184" s="18" t="n">
        <f aca="false">AN57/AN58</f>
        <v>76.1052915766739</v>
      </c>
      <c r="AO184" s="18" t="n">
        <f aca="false">AO57/AO58</f>
        <v>43.9148996431336</v>
      </c>
      <c r="AP184" s="18" t="n">
        <f aca="false">AP57/AP58</f>
        <v>74.2907263028314</v>
      </c>
      <c r="AQ184" s="18" t="n">
        <f aca="false">AQ57/AQ58</f>
        <v>102.305523809524</v>
      </c>
      <c r="AR184" s="18" t="n">
        <f aca="false">AR57/AR58</f>
        <v>43.3973135383528</v>
      </c>
      <c r="AS184" s="18" t="n">
        <f aca="false">AS57/AS58</f>
        <v>372.717548746518</v>
      </c>
      <c r="AT184" s="18"/>
      <c r="AU184" s="18"/>
      <c r="AV184" s="18"/>
      <c r="AW184" s="18"/>
      <c r="AX184" s="16"/>
      <c r="AY184" s="18" t="n">
        <f aca="false">AY57/AY58</f>
        <v>65.6051348145997</v>
      </c>
      <c r="AZ184" s="18" t="n">
        <f aca="false">AZ57/AZ58</f>
        <v>54.0927780156561</v>
      </c>
      <c r="BA184" s="18" t="n">
        <f aca="false">BA57/BA58</f>
        <v>49.7286185871709</v>
      </c>
      <c r="BB184" s="18" t="n">
        <f aca="false">BB57/BB58</f>
        <v>18.94664988646</v>
      </c>
      <c r="BC184" s="18" t="n">
        <f aca="false">BC57/BC58</f>
        <v>66.1872759918751</v>
      </c>
      <c r="BD184" s="18"/>
      <c r="BE184" s="18" t="n">
        <f aca="false">BE57/BE58</f>
        <v>56.2447598719615</v>
      </c>
    </row>
    <row r="185" customFormat="false" ht="12.75" hidden="false" customHeight="true" outlineLevel="0" collapsed="false">
      <c r="C185" s="17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6"/>
      <c r="AY185" s="18"/>
      <c r="AZ185" s="18"/>
      <c r="BA185" s="18"/>
      <c r="BB185" s="18"/>
      <c r="BC185" s="18"/>
      <c r="BD185" s="16"/>
      <c r="BE185" s="18"/>
    </row>
    <row r="186" customFormat="false" ht="12.75" hidden="false" customHeight="true" outlineLevel="0" collapsed="false">
      <c r="C186" s="17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6"/>
      <c r="AY186" s="18"/>
      <c r="AZ186" s="18"/>
      <c r="BA186" s="18"/>
      <c r="BB186" s="18"/>
      <c r="BC186" s="18"/>
      <c r="BD186" s="16"/>
      <c r="BE186" s="18"/>
    </row>
    <row r="187" customFormat="false" ht="12.75" hidden="false" customHeight="true" outlineLevel="0" collapsed="false">
      <c r="C187" s="17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6"/>
      <c r="AY187" s="18"/>
      <c r="AZ187" s="18"/>
      <c r="BA187" s="18"/>
      <c r="BB187" s="18"/>
      <c r="BC187" s="18"/>
      <c r="BD187" s="16"/>
      <c r="BE187" s="18"/>
    </row>
    <row r="188" customFormat="false" ht="12.75" hidden="false" customHeight="true" outlineLevel="0" collapsed="false">
      <c r="C188" s="17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6"/>
      <c r="AY188" s="18"/>
      <c r="AZ188" s="18"/>
      <c r="BA188" s="18"/>
      <c r="BB188" s="18"/>
      <c r="BC188" s="18"/>
      <c r="BD188" s="16"/>
      <c r="BE188" s="18"/>
    </row>
    <row r="189" customFormat="false" ht="12.75" hidden="false" customHeight="true" outlineLevel="0" collapsed="false">
      <c r="A189" s="11" t="s">
        <v>120</v>
      </c>
      <c r="B189" s="12"/>
      <c r="C189" s="15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6"/>
      <c r="AY189" s="18"/>
      <c r="AZ189" s="18"/>
      <c r="BA189" s="18"/>
      <c r="BB189" s="18"/>
      <c r="BC189" s="18"/>
      <c r="BD189" s="16"/>
      <c r="BE189" s="18"/>
    </row>
    <row r="190" customFormat="false" ht="12.75" hidden="false" customHeight="true" outlineLevel="0" collapsed="false"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6"/>
      <c r="AY190" s="18"/>
      <c r="AZ190" s="18"/>
      <c r="BA190" s="18"/>
      <c r="BB190" s="18"/>
      <c r="BC190" s="18"/>
      <c r="BD190" s="16"/>
      <c r="BE190" s="18"/>
    </row>
    <row r="191" customFormat="false" ht="12.75" hidden="false" customHeight="true" outlineLevel="0" collapsed="false">
      <c r="A191" s="1" t="s">
        <v>77</v>
      </c>
      <c r="B191" s="1" t="n">
        <v>2023</v>
      </c>
      <c r="C191" s="1" t="s">
        <v>52</v>
      </c>
      <c r="D191" s="14" t="n">
        <f aca="false">SUMIF($C$63:$C$76, $C191, D$63:D$76)</f>
        <v>3627418</v>
      </c>
      <c r="E191" s="14" t="n">
        <f aca="false">SUMIF($C$63:$C$76, $C191, E$63:E$76)</f>
        <v>1715001</v>
      </c>
      <c r="F191" s="14" t="n">
        <f aca="false">SUMIF($C$63:$C$76, $C191, F$63:F$76)</f>
        <v>1751577</v>
      </c>
      <c r="G191" s="14" t="n">
        <f aca="false">SUMIF($C$63:$C$76, $C191, G$63:G$76)</f>
        <v>4189153</v>
      </c>
      <c r="H191" s="14" t="n">
        <f aca="false">SUMIF($C$63:$C$76, $C191, H$63:H$76)</f>
        <v>3640056</v>
      </c>
      <c r="I191" s="14" t="n">
        <f aca="false">SUMIF($C$63:$C$76, $C191, I$63:I$76)</f>
        <v>5552676</v>
      </c>
      <c r="J191" s="14" t="n">
        <f aca="false">SUMIF($C$63:$C$76, $C191, J$63:J$76)</f>
        <v>4518002</v>
      </c>
      <c r="K191" s="14"/>
      <c r="L191" s="14" t="n">
        <f aca="false">SUMIF($C$63:$C$76, $C191, L$63:L$76)</f>
        <v>0</v>
      </c>
      <c r="M191" s="14"/>
      <c r="N191" s="14"/>
      <c r="O191" s="14" t="n">
        <f aca="false">SUMIF($C$63:$C$76, $C191, O$63:O$76)</f>
        <v>3382712</v>
      </c>
      <c r="P191" s="14" t="n">
        <f aca="false">SUMIF($C$63:$C$76, $C191, P$63:P$76)</f>
        <v>3600000</v>
      </c>
      <c r="Q191" s="14" t="n">
        <f aca="false">SUMIF($C$63:$C$76, $C191, Q$63:Q$76)</f>
        <v>4630601</v>
      </c>
      <c r="R191" s="14" t="n">
        <f aca="false">SUMIF($C$63:$C$76, $C191, R$63:R$76)</f>
        <v>1127966</v>
      </c>
      <c r="S191" s="14" t="n">
        <f aca="false">SUMIF($C$63:$C$76, $C191, S$63:S$76)</f>
        <v>3027331</v>
      </c>
      <c r="T191" s="14" t="n">
        <f aca="false">SUMIF($C$63:$C$76, $C191, T$63:T$76)</f>
        <v>0</v>
      </c>
      <c r="U191" s="14" t="n">
        <f aca="false">SUMIF($C$63:$C$76, $C191, U$63:U$76)</f>
        <v>0</v>
      </c>
      <c r="V191" s="14" t="n">
        <f aca="false">SUMIF($C$63:$C$76, $C191, V$63:V$76)</f>
        <v>0</v>
      </c>
      <c r="W191" s="14" t="n">
        <f aca="false">SUMIF($C$63:$C$76, $C191, W$63:W$76)</f>
        <v>0</v>
      </c>
      <c r="X191" s="14"/>
      <c r="Y191" s="14"/>
      <c r="Z191" s="14" t="n">
        <f aca="false">SUMIF($C$63:$C$76, $C191, Z$63:Z$76)</f>
        <v>0</v>
      </c>
      <c r="AA191" s="14" t="n">
        <f aca="false">SUMIF($C$63:$C$76, $C191, AA$63:AA$76)</f>
        <v>962271</v>
      </c>
      <c r="AB191" s="14" t="n">
        <f aca="false">SUMIF($C$63:$C$76, $C191, AB$63:AB$76)</f>
        <v>1056408</v>
      </c>
      <c r="AC191" s="14" t="n">
        <f aca="false">SUMIF($C$63:$C$76, $C191, AC$63:AC$76)</f>
        <v>0</v>
      </c>
      <c r="AD191" s="14" t="n">
        <f aca="false">SUMIF($C$63:$C$76, $C191, AD$63:AD$76)</f>
        <v>4369753</v>
      </c>
      <c r="AE191" s="14" t="n">
        <f aca="false">SUMIF($C$63:$C$76, $C191, AE$63:AE$76)</f>
        <v>3852327</v>
      </c>
      <c r="AF191" s="14" t="n">
        <f aca="false">SUMIF($C$63:$C$76, $C191, AF$63:AF$76)</f>
        <v>2847575</v>
      </c>
      <c r="AG191" s="14" t="n">
        <f aca="false">SUMIF($C$63:$C$76, $C191, AG$63:AG$76)</f>
        <v>4968734</v>
      </c>
      <c r="AH191" s="14" t="n">
        <f aca="false">SUMIF($C$63:$C$76, $C191, AH$63:AH$76)</f>
        <v>7055236</v>
      </c>
      <c r="AI191" s="14" t="n">
        <f aca="false">SUMIF($C$63:$C$76, $C191, AI$63:AI$76)</f>
        <v>4537984</v>
      </c>
      <c r="AJ191" s="14"/>
      <c r="AK191" s="14"/>
      <c r="AL191" s="14" t="n">
        <f aca="false">SUMIF($C$63:$C$76, $C191, AL$63:AL$76)</f>
        <v>4034246</v>
      </c>
      <c r="AM191" s="14" t="n">
        <f aca="false">SUMIF($C$63:$C$76, $C191, AM$63:AM$76)</f>
        <v>2611847</v>
      </c>
      <c r="AN191" s="14" t="n">
        <f aca="false">SUMIF($C$63:$C$76, $C191, AN$63:AN$76)</f>
        <v>4549599</v>
      </c>
      <c r="AO191" s="14" t="n">
        <f aca="false">SUMIF($C$63:$C$76, $C191, AO$63:AO$76)</f>
        <v>7448576</v>
      </c>
      <c r="AP191" s="14" t="n">
        <f aca="false">SUMIF($C$63:$C$76, $C191, AP$63:AP$76)</f>
        <v>4971977</v>
      </c>
      <c r="AQ191" s="14" t="n">
        <f aca="false">SUMIF($C$63:$C$76, $C191, AQ$63:AQ$76)</f>
        <v>4804322</v>
      </c>
      <c r="AR191" s="14" t="n">
        <f aca="false">SUMIF($C$63:$C$76, $C191, AR$63:AR$76)</f>
        <v>4591993</v>
      </c>
      <c r="AS191" s="14" t="n">
        <f aca="false">SUMIF($C$63:$C$76, $C191, AS$63:AS$76)</f>
        <v>0</v>
      </c>
      <c r="AT191" s="14"/>
      <c r="AU191" s="14"/>
      <c r="AV191" s="14"/>
      <c r="AW191" s="14"/>
      <c r="AX191" s="14"/>
      <c r="AY191" s="14" t="n">
        <f aca="false">SUMIF($C$63:$C$76, $C191, AY$63:AY$76)</f>
        <v>33012560</v>
      </c>
      <c r="AZ191" s="14" t="n">
        <f aca="false">SUMIF($C$63:$C$76, $C191, AZ$63:AZ$76)</f>
        <v>24993883</v>
      </c>
      <c r="BA191" s="14" t="n">
        <f aca="false">SUMIF($C$63:$C$76, $C191, BA$63:BA$76)</f>
        <v>15768610</v>
      </c>
      <c r="BB191" s="14" t="n">
        <f aca="false">SUMIF($C$63:$C$76, $C191, BB$63:BB$76)</f>
        <v>2018679</v>
      </c>
      <c r="BC191" s="14" t="n">
        <f aca="false">SUMIF($C$63:$C$76, $C191, BC$63:BC$76)</f>
        <v>27631609</v>
      </c>
      <c r="BD191" s="14"/>
      <c r="BE191" s="14" t="n">
        <f aca="false">SUMIF($C$63:$C$76, $C191, BE$63:BE$76)</f>
        <v>103425341</v>
      </c>
    </row>
    <row r="192" customFormat="false" ht="12.75" hidden="false" customHeight="true" outlineLevel="0" collapsed="false">
      <c r="A192" s="1" t="s">
        <v>77</v>
      </c>
      <c r="B192" s="1" t="n">
        <v>2023</v>
      </c>
      <c r="C192" s="1" t="s">
        <v>53</v>
      </c>
      <c r="D192" s="14" t="n">
        <f aca="false">SUMIF($C$63:$C$76, $C192, D$63:D$76)</f>
        <v>4164336</v>
      </c>
      <c r="E192" s="14" t="n">
        <f aca="false">SUMIF($C$63:$C$76, $C192, E$63:E$76)</f>
        <v>1900368</v>
      </c>
      <c r="F192" s="14" t="n">
        <f aca="false">SUMIF($C$63:$C$76, $C192, F$63:F$76)</f>
        <v>1492415</v>
      </c>
      <c r="G192" s="14" t="n">
        <f aca="false">SUMIF($C$63:$C$76, $C192, G$63:G$76)</f>
        <v>3495047</v>
      </c>
      <c r="H192" s="14" t="n">
        <f aca="false">SUMIF($C$63:$C$76, $C192, H$63:H$76)</f>
        <v>3306313</v>
      </c>
      <c r="I192" s="14" t="n">
        <f aca="false">SUMIF($C$63:$C$76, $C192, I$63:I$76)</f>
        <v>3245690</v>
      </c>
      <c r="J192" s="14" t="n">
        <f aca="false">SUMIF($C$63:$C$76, $C192, J$63:J$76)</f>
        <v>2303135</v>
      </c>
      <c r="K192" s="14"/>
      <c r="L192" s="14" t="n">
        <f aca="false">SUMIF($C$63:$C$76, $C192, L$63:L$76)</f>
        <v>0</v>
      </c>
      <c r="M192" s="14"/>
      <c r="N192" s="14"/>
      <c r="O192" s="14" t="n">
        <f aca="false">SUMIF($C$63:$C$76, $C192, O$63:O$76)</f>
        <v>3239968</v>
      </c>
      <c r="P192" s="14" t="n">
        <f aca="false">SUMIF($C$63:$C$76, $C192, P$63:P$76)</f>
        <v>4168872</v>
      </c>
      <c r="Q192" s="14" t="n">
        <f aca="false">SUMIF($C$63:$C$76, $C192, Q$63:Q$76)</f>
        <v>5263840</v>
      </c>
      <c r="R192" s="14" t="n">
        <f aca="false">SUMIF($C$63:$C$76, $C192, R$63:R$76)</f>
        <v>1257468</v>
      </c>
      <c r="S192" s="14" t="n">
        <f aca="false">SUMIF($C$63:$C$76, $C192, S$63:S$76)</f>
        <v>3087296</v>
      </c>
      <c r="T192" s="14" t="n">
        <f aca="false">SUMIF($C$63:$C$76, $C192, T$63:T$76)</f>
        <v>0</v>
      </c>
      <c r="U192" s="14" t="n">
        <f aca="false">SUMIF($C$63:$C$76, $C192, U$63:U$76)</f>
        <v>0</v>
      </c>
      <c r="V192" s="14" t="n">
        <f aca="false">SUMIF($C$63:$C$76, $C192, V$63:V$76)</f>
        <v>0</v>
      </c>
      <c r="W192" s="14" t="n">
        <f aca="false">SUMIF($C$63:$C$76, $C192, W$63:W$76)</f>
        <v>0</v>
      </c>
      <c r="X192" s="14"/>
      <c r="Y192" s="14"/>
      <c r="Z192" s="14" t="n">
        <f aca="false">SUMIF($C$63:$C$76, $C192, Z$63:Z$76)</f>
        <v>0</v>
      </c>
      <c r="AA192" s="14" t="n">
        <f aca="false">SUMIF($C$63:$C$76, $C192, AA$63:AA$76)</f>
        <v>1033267</v>
      </c>
      <c r="AB192" s="14" t="n">
        <f aca="false">SUMIF($C$63:$C$76, $C192, AB$63:AB$76)</f>
        <v>1049031</v>
      </c>
      <c r="AC192" s="14" t="n">
        <f aca="false">SUMIF($C$63:$C$76, $C192, AC$63:AC$76)</f>
        <v>0</v>
      </c>
      <c r="AD192" s="14" t="n">
        <f aca="false">SUMIF($C$63:$C$76, $C192, AD$63:AD$76)</f>
        <v>4445233</v>
      </c>
      <c r="AE192" s="14" t="n">
        <f aca="false">SUMIF($C$63:$C$76, $C192, AE$63:AE$76)</f>
        <v>4517369</v>
      </c>
      <c r="AF192" s="14" t="n">
        <f aca="false">SUMIF($C$63:$C$76, $C192, AF$63:AF$76)</f>
        <v>2743849</v>
      </c>
      <c r="AG192" s="14" t="n">
        <f aca="false">SUMIF($C$63:$C$76, $C192, AG$63:AG$76)</f>
        <v>4399371</v>
      </c>
      <c r="AH192" s="14" t="n">
        <f aca="false">SUMIF($C$63:$C$76, $C192, AH$63:AH$76)</f>
        <v>4938177</v>
      </c>
      <c r="AI192" s="14" t="n">
        <f aca="false">SUMIF($C$63:$C$76, $C192, AI$63:AI$76)</f>
        <v>4045531</v>
      </c>
      <c r="AJ192" s="14"/>
      <c r="AK192" s="14"/>
      <c r="AL192" s="14" t="n">
        <f aca="false">SUMIF($C$63:$C$76, $C192, AL$63:AL$76)</f>
        <v>4476490</v>
      </c>
      <c r="AM192" s="14" t="n">
        <f aca="false">SUMIF($C$63:$C$76, $C192, AM$63:AM$76)</f>
        <v>2134324</v>
      </c>
      <c r="AN192" s="14" t="n">
        <f aca="false">SUMIF($C$63:$C$76, $C192, AN$63:AN$76)</f>
        <v>3508947</v>
      </c>
      <c r="AO192" s="14" t="n">
        <f aca="false">SUMIF($C$63:$C$76, $C192, AO$63:AO$76)</f>
        <v>6348563</v>
      </c>
      <c r="AP192" s="14" t="n">
        <f aca="false">SUMIF($C$63:$C$76, $C192, AP$63:AP$76)</f>
        <v>3896956</v>
      </c>
      <c r="AQ192" s="14" t="n">
        <f aca="false">SUMIF($C$63:$C$76, $C192, AQ$63:AQ$76)</f>
        <v>3236384</v>
      </c>
      <c r="AR192" s="14" t="n">
        <f aca="false">SUMIF($C$63:$C$76, $C192, AR$63:AR$76)</f>
        <v>1959940</v>
      </c>
      <c r="AS192" s="14" t="n">
        <f aca="false">SUMIF($C$63:$C$76, $C192, AS$63:AS$76)</f>
        <v>0</v>
      </c>
      <c r="AT192" s="14"/>
      <c r="AU192" s="14"/>
      <c r="AV192" s="14"/>
      <c r="AW192" s="14"/>
      <c r="AX192" s="14"/>
      <c r="AY192" s="14" t="n">
        <f aca="false">SUMIF($C$63:$C$76, $C192, AY$63:AY$76)</f>
        <v>25561604</v>
      </c>
      <c r="AZ192" s="14" t="n">
        <f aca="false">SUMIF($C$63:$C$76, $C192, AZ$63:AZ$76)</f>
        <v>19907304</v>
      </c>
      <c r="BA192" s="14" t="n">
        <f aca="false">SUMIF($C$63:$C$76, $C192, BA$63:BA$76)</f>
        <v>17017444</v>
      </c>
      <c r="BB192" s="14" t="n">
        <f aca="false">SUMIF($C$63:$C$76, $C192, BB$63:BB$76)</f>
        <v>2082298</v>
      </c>
      <c r="BC192" s="14" t="n">
        <f aca="false">SUMIF($C$63:$C$76, $C192, BC$63:BC$76)</f>
        <v>25089530</v>
      </c>
      <c r="BD192" s="14"/>
      <c r="BE192" s="14" t="n">
        <f aca="false">SUMIF($C$63:$C$76, $C192, BE$63:BE$76)</f>
        <v>89658180</v>
      </c>
    </row>
    <row r="193" customFormat="false" ht="12.75" hidden="false" customHeight="true" outlineLevel="0" collapsed="false">
      <c r="A193" s="1" t="s">
        <v>78</v>
      </c>
      <c r="B193" s="1" t="n">
        <v>2023</v>
      </c>
      <c r="C193" s="1" t="s">
        <v>53</v>
      </c>
      <c r="D193" s="14" t="n">
        <f aca="false">D64+D66</f>
        <v>1506155</v>
      </c>
      <c r="E193" s="14" t="n">
        <f aca="false">E64+E66</f>
        <v>407160</v>
      </c>
      <c r="F193" s="14" t="n">
        <f aca="false">F64+F66</f>
        <v>359344</v>
      </c>
      <c r="G193" s="14" t="n">
        <f aca="false">G64+G66</f>
        <v>1414589</v>
      </c>
      <c r="H193" s="14" t="n">
        <f aca="false">H64+H66</f>
        <v>1389161</v>
      </c>
      <c r="I193" s="14" t="n">
        <f aca="false">I64+I66</f>
        <v>1201871</v>
      </c>
      <c r="J193" s="14" t="n">
        <f aca="false">J64+J66</f>
        <v>556121</v>
      </c>
      <c r="K193" s="14"/>
      <c r="L193" s="14" t="n">
        <f aca="false">L64+L66</f>
        <v>0</v>
      </c>
      <c r="M193" s="14"/>
      <c r="N193" s="14"/>
      <c r="O193" s="14" t="n">
        <f aca="false">O64+O66</f>
        <v>873647</v>
      </c>
      <c r="P193" s="14" t="n">
        <f aca="false">P64+P66</f>
        <v>1426938</v>
      </c>
      <c r="Q193" s="14" t="n">
        <f aca="false">Q64+Q66</f>
        <v>2022228</v>
      </c>
      <c r="R193" s="14" t="n">
        <f aca="false">R64+R66</f>
        <v>0</v>
      </c>
      <c r="S193" s="14" t="n">
        <f aca="false">S64+S66</f>
        <v>802991</v>
      </c>
      <c r="T193" s="14" t="n">
        <f aca="false">T64+T66</f>
        <v>0</v>
      </c>
      <c r="U193" s="14" t="n">
        <f aca="false">U64+U66</f>
        <v>0</v>
      </c>
      <c r="V193" s="14" t="n">
        <f aca="false">V64+V66</f>
        <v>0</v>
      </c>
      <c r="W193" s="14" t="n">
        <f aca="false">W64+W66</f>
        <v>0</v>
      </c>
      <c r="X193" s="14"/>
      <c r="Y193" s="14"/>
      <c r="Z193" s="14" t="n">
        <f aca="false">Z64+Z66</f>
        <v>0</v>
      </c>
      <c r="AA193" s="14" t="n">
        <f aca="false">AA64+AA66</f>
        <v>387995</v>
      </c>
      <c r="AB193" s="14" t="n">
        <f aca="false">AB64+AB66</f>
        <v>58204</v>
      </c>
      <c r="AC193" s="14" t="n">
        <f aca="false">AC64+AC66</f>
        <v>0</v>
      </c>
      <c r="AD193" s="14" t="n">
        <f aca="false">AD64+AD66</f>
        <v>2178193</v>
      </c>
      <c r="AE193" s="14" t="n">
        <f aca="false">AE64+AE66</f>
        <v>1794802</v>
      </c>
      <c r="AF193" s="14" t="n">
        <f aca="false">AF64+AF66</f>
        <v>1324209</v>
      </c>
      <c r="AG193" s="14" t="n">
        <f aca="false">AG64+AG66</f>
        <v>1477006</v>
      </c>
      <c r="AH193" s="14" t="n">
        <f aca="false">AH64+AH66</f>
        <v>1879857</v>
      </c>
      <c r="AI193" s="14" t="n">
        <f aca="false">AI64+AI66</f>
        <v>1410328</v>
      </c>
      <c r="AJ193" s="14"/>
      <c r="AK193" s="14"/>
      <c r="AL193" s="14" t="n">
        <f aca="false">AL64+AL66</f>
        <v>1490630</v>
      </c>
      <c r="AM193" s="14" t="n">
        <f aca="false">AM64+AM66</f>
        <v>0</v>
      </c>
      <c r="AN193" s="14" t="n">
        <f aca="false">AN64+AN66</f>
        <v>1108921</v>
      </c>
      <c r="AO193" s="14" t="n">
        <f aca="false">AO64+AO66</f>
        <v>2401830</v>
      </c>
      <c r="AP193" s="14" t="n">
        <f aca="false">AP64+AP66</f>
        <v>1036427</v>
      </c>
      <c r="AQ193" s="14" t="n">
        <f aca="false">AQ64+AQ66</f>
        <v>0</v>
      </c>
      <c r="AR193" s="14" t="n">
        <f aca="false">AR64+AR66</f>
        <v>575300</v>
      </c>
      <c r="AS193" s="14" t="n">
        <f aca="false">AS64+AS66</f>
        <v>0</v>
      </c>
      <c r="AT193" s="14"/>
      <c r="AU193" s="14"/>
      <c r="AV193" s="14"/>
      <c r="AW193" s="14"/>
      <c r="AX193" s="14"/>
      <c r="AY193" s="14" t="n">
        <f aca="false">AY64+AY66</f>
        <v>6613108</v>
      </c>
      <c r="AZ193" s="14" t="n">
        <f aca="false">AZ64+AZ66</f>
        <v>6834401</v>
      </c>
      <c r="BA193" s="14" t="n">
        <f aca="false">BA64+BA66</f>
        <v>5125804</v>
      </c>
      <c r="BB193" s="14" t="n">
        <f aca="false">BB64+BB66</f>
        <v>446199</v>
      </c>
      <c r="BC193" s="14" t="n">
        <f aca="false">BC64+BC66</f>
        <v>10064395</v>
      </c>
      <c r="BD193" s="14"/>
      <c r="BE193" s="14" t="n">
        <f aca="false">BE64+BE66</f>
        <v>29083907</v>
      </c>
    </row>
    <row r="194" customFormat="false" ht="12.75" hidden="false" customHeight="true" outlineLevel="0" collapsed="false">
      <c r="A194" s="1" t="s">
        <v>79</v>
      </c>
      <c r="B194" s="1" t="n">
        <v>2023</v>
      </c>
      <c r="C194" s="1" t="s">
        <v>53</v>
      </c>
      <c r="D194" s="14" t="n">
        <f aca="false">D70+D72+D74</f>
        <v>593793</v>
      </c>
      <c r="E194" s="14" t="n">
        <f aca="false">E70+E72+E74</f>
        <v>325978</v>
      </c>
      <c r="F194" s="14" t="n">
        <f aca="false">F70+F72+F74</f>
        <v>315616</v>
      </c>
      <c r="G194" s="14" t="n">
        <f aca="false">G70+G72+G74</f>
        <v>319787</v>
      </c>
      <c r="H194" s="14" t="n">
        <f aca="false">H70+H72+H74</f>
        <v>348835</v>
      </c>
      <c r="I194" s="14" t="n">
        <f aca="false">I70+I72+I74</f>
        <v>251179</v>
      </c>
      <c r="J194" s="14" t="n">
        <f aca="false">J70+J72+J74</f>
        <v>332605</v>
      </c>
      <c r="K194" s="14"/>
      <c r="L194" s="14" t="n">
        <f aca="false">L70+L72+L74</f>
        <v>0</v>
      </c>
      <c r="M194" s="14"/>
      <c r="N194" s="14"/>
      <c r="O194" s="14" t="n">
        <f aca="false">O70+O72+O74</f>
        <v>638767</v>
      </c>
      <c r="P194" s="14" t="n">
        <f aca="false">P70+P72+P74</f>
        <v>845356</v>
      </c>
      <c r="Q194" s="14" t="n">
        <f aca="false">Q70+Q72+Q74</f>
        <v>687197</v>
      </c>
      <c r="R194" s="14" t="n">
        <f aca="false">R70+R72+R74</f>
        <v>419910</v>
      </c>
      <c r="S194" s="14" t="n">
        <f aca="false">S70+S72+S74</f>
        <v>650874</v>
      </c>
      <c r="T194" s="14" t="n">
        <f aca="false">T70+T72+T74</f>
        <v>0</v>
      </c>
      <c r="U194" s="14" t="n">
        <f aca="false">U70+U72+U74</f>
        <v>0</v>
      </c>
      <c r="V194" s="14" t="n">
        <f aca="false">V70+V72+V74</f>
        <v>0</v>
      </c>
      <c r="W194" s="14" t="n">
        <f aca="false">W70+W72+W74</f>
        <v>0</v>
      </c>
      <c r="X194" s="14"/>
      <c r="Y194" s="14"/>
      <c r="Z194" s="14" t="n">
        <f aca="false">Z70+Z72+Z74</f>
        <v>0</v>
      </c>
      <c r="AA194" s="14" t="n">
        <f aca="false">AA70+AA72+AA74</f>
        <v>119424</v>
      </c>
      <c r="AB194" s="14" t="n">
        <f aca="false">AB70+AB72+AB74</f>
        <v>321978</v>
      </c>
      <c r="AC194" s="14" t="n">
        <f aca="false">AC70+AC72+AC74</f>
        <v>0</v>
      </c>
      <c r="AD194" s="14" t="n">
        <f aca="false">AD70+AD72+AD74</f>
        <v>431783</v>
      </c>
      <c r="AE194" s="14" t="n">
        <f aca="false">AE70+AE72+AE74</f>
        <v>568012</v>
      </c>
      <c r="AF194" s="14" t="n">
        <f aca="false">AF70+AF72+AF74</f>
        <v>503251</v>
      </c>
      <c r="AG194" s="14" t="n">
        <f aca="false">AG70+AG72+AG74</f>
        <v>347173</v>
      </c>
      <c r="AH194" s="14" t="n">
        <f aca="false">AH70+AH72+AH74</f>
        <v>232245</v>
      </c>
      <c r="AI194" s="14" t="n">
        <f aca="false">AI70+AI72+AI74</f>
        <v>260070</v>
      </c>
      <c r="AJ194" s="14"/>
      <c r="AK194" s="14"/>
      <c r="AL194" s="14" t="n">
        <f aca="false">AL70+AL72+AL74</f>
        <v>351736</v>
      </c>
      <c r="AM194" s="14" t="n">
        <f aca="false">AM70+AM72+AM74</f>
        <v>638174</v>
      </c>
      <c r="AN194" s="14" t="n">
        <f aca="false">AN70+AN72+AN74</f>
        <v>207427</v>
      </c>
      <c r="AO194" s="14" t="n">
        <f aca="false">AO70+AO72+AO74</f>
        <v>477826</v>
      </c>
      <c r="AP194" s="14" t="n">
        <f aca="false">AP70+AP72+AP74</f>
        <v>341017</v>
      </c>
      <c r="AQ194" s="14" t="n">
        <f aca="false">AQ70+AQ72+AQ74</f>
        <v>600342</v>
      </c>
      <c r="AR194" s="14" t="n">
        <f aca="false">AR70+AR72+AR74</f>
        <v>121209</v>
      </c>
      <c r="AS194" s="14" t="n">
        <f aca="false">AS70+AS72+AS74</f>
        <v>0</v>
      </c>
      <c r="AT194" s="14"/>
      <c r="AU194" s="14"/>
      <c r="AV194" s="14"/>
      <c r="AW194" s="14"/>
      <c r="AX194" s="14"/>
      <c r="AY194" s="14" t="n">
        <f aca="false">AY70+AY72+AY74</f>
        <v>2737731</v>
      </c>
      <c r="AZ194" s="14" t="n">
        <f aca="false">AZ70+AZ72+AZ74</f>
        <v>2487793</v>
      </c>
      <c r="BA194" s="14" t="n">
        <f aca="false">BA70+BA72+BA74</f>
        <v>3242104</v>
      </c>
      <c r="BB194" s="14" t="n">
        <f aca="false">BB70+BB72+BB74</f>
        <v>441402</v>
      </c>
      <c r="BC194" s="14" t="n">
        <f aca="false">BC70+BC72+BC74</f>
        <v>2342534</v>
      </c>
      <c r="BD194" s="14"/>
      <c r="BE194" s="14" t="n">
        <f aca="false">BE70+BE72+BE74</f>
        <v>11251564</v>
      </c>
    </row>
    <row r="195" customFormat="false" ht="12.75" hidden="false" customHeight="true" outlineLevel="0" collapsed="false"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</row>
    <row r="196" customFormat="false" ht="12.75" hidden="false" customHeight="true" outlineLevel="0" collapsed="false">
      <c r="A196" s="1" t="s">
        <v>51</v>
      </c>
      <c r="B196" s="1" t="n">
        <v>2023</v>
      </c>
      <c r="C196" s="1" t="s">
        <v>80</v>
      </c>
      <c r="D196" s="16" t="n">
        <f aca="false">SUMIFS(D$63:D$76, $A$63:$A$76,$A196, $C$63:$C$76, "$ Actual")/SUMIFS(D$63:D$76, $A$63:$A$76,$A196, $C$63:$C$76, "$ Budgeted")</f>
        <v>1.42103761147</v>
      </c>
      <c r="E196" s="16" t="n">
        <f aca="false">SUMIFS(E$63:E$76, $A$63:$A$76,$A196, $C$63:$C$76, "$ Actual")/SUMIFS(E$63:E$76, $A$63:$A$76,$A196, $C$63:$C$76, "$ Budgeted")</f>
        <v>1.39098232404326</v>
      </c>
      <c r="F196" s="16" t="n">
        <f aca="false">SUMIFS(F$63:F$76, $A$63:$A$76,$A196, $C$63:$C$76, "$ Actual")/SUMIFS(F$63:F$76, $A$63:$A$76,$A196, $C$63:$C$76, "$ Budgeted")</f>
        <v>0.543100386456345</v>
      </c>
      <c r="G196" s="16" t="n">
        <f aca="false">SUMIFS(G$63:G$76, $A$63:$A$76,$A196, $C$63:$C$76, "$ Actual")/SUMIFS(G$63:G$76, $A$63:$A$76,$A196, $C$63:$C$76, "$ Budgeted")</f>
        <v>0.643207289196948</v>
      </c>
      <c r="H196" s="16" t="n">
        <f aca="false">SUMIFS(H$63:H$76, $A$63:$A$76,$A196, $C$63:$C$76, "$ Actual")/SUMIFS(H$63:H$76, $A$63:$A$76,$A196, $C$63:$C$76, "$ Budgeted")</f>
        <v>0.675722671366179</v>
      </c>
      <c r="I196" s="16" t="n">
        <f aca="false">SUMIFS(I$63:I$76, $A$63:$A$76,$A196, $C$63:$C$76, "$ Actual")/SUMIFS(I$63:I$76, $A$63:$A$76,$A196, $C$63:$C$76, "$ Budgeted")</f>
        <v>0.596274264693262</v>
      </c>
      <c r="J196" s="16" t="n">
        <f aca="false">SUMIFS(J$63:J$76, $A$63:$A$76,$A196, $C$63:$C$76, "$ Actual")/SUMIFS(J$63:J$76, $A$63:$A$76,$A196, $C$63:$C$76, "$ Budgeted")</f>
        <v>0.188100084730757</v>
      </c>
      <c r="K196" s="16" t="e">
        <f aca="false">SUMIFS(K$63:K$76, $A$63:$A$76,$A196, $C$63:$C$76, "$ Actual")/SUMIFS(K$63:K$76, $A$63:$A$76,$A196, $C$63:$C$76, "$ Budgeted")</f>
        <v>#DIV/0!</v>
      </c>
      <c r="L196" s="16" t="e">
        <f aca="false">SUMIFS(L$63:L$76, $A$63:$A$76,$A196, $C$63:$C$76, "$ Actual")/SUMIFS(L$63:L$76, $A$63:$A$76,$A196, $C$63:$C$76, "$ Budgeted")</f>
        <v>#DIV/0!</v>
      </c>
      <c r="M196" s="16" t="e">
        <f aca="false">SUMIFS(M$63:M$76, $A$63:$A$76,$A196, $C$63:$C$76, "$ Actual")/SUMIFS(M$63:M$76, $A$63:$A$76,$A196, $C$63:$C$76, "$ Budgeted")</f>
        <v>#DIV/0!</v>
      </c>
      <c r="N196" s="16"/>
      <c r="O196" s="16" t="n">
        <f aca="false">SUMIFS(O$63:O$76, $A$63:$A$76,$A196, $C$63:$C$76, "$ Actual")/SUMIFS(O$63:O$76, $A$63:$A$76,$A196, $C$63:$C$76, "$ Budgeted")</f>
        <v>1.06041979974972</v>
      </c>
      <c r="P196" s="16" t="n">
        <f aca="false">SUMIFS(P$63:P$76, $A$63:$A$76,$A196, $C$63:$C$76, "$ Actual")/SUMIFS(P$63:P$76, $A$63:$A$76,$A196, $C$63:$C$76, "$ Budgeted")</f>
        <v>1.25699531828187</v>
      </c>
      <c r="Q196" s="16" t="n">
        <f aca="false">SUMIFS(Q$63:Q$76, $A$63:$A$76,$A196, $C$63:$C$76, "$ Actual")/SUMIFS(Q$63:Q$76, $A$63:$A$76,$A196, $C$63:$C$76, "$ Budgeted")</f>
        <v>1.17648067759629</v>
      </c>
      <c r="R196" s="16" t="e">
        <f aca="false">SUMIFS(R$63:R$76, $A$63:$A$76,$A196, $C$63:$C$76, "$ Actual")/SUMIFS(R$63:R$76, $A$63:$A$76,$A196, $C$63:$C$76, "$ Budgeted")</f>
        <v>#DIV/0!</v>
      </c>
      <c r="S196" s="16" t="n">
        <f aca="false">SUMIFS(S$63:S$76, $A$63:$A$76,$A196, $C$63:$C$76, "$ Actual")/SUMIFS(S$63:S$76, $A$63:$A$76,$A196, $C$63:$C$76, "$ Budgeted")</f>
        <v>1.04347059673458</v>
      </c>
      <c r="T196" s="16" t="e">
        <f aca="false">SUMIFS(T$63:T$76, $A$63:$A$76,$A196, $C$63:$C$76, "$ Actual")/SUMIFS(T$63:T$76, $A$63:$A$76,$A196, $C$63:$C$76, "$ Budgeted")</f>
        <v>#DIV/0!</v>
      </c>
      <c r="U196" s="16" t="e">
        <f aca="false">SUMIFS(U$63:U$76, $A$63:$A$76,$A196, $C$63:$C$76, "$ Actual")/SUMIFS(U$63:U$76, $A$63:$A$76,$A196, $C$63:$C$76, "$ Budgeted")</f>
        <v>#DIV/0!</v>
      </c>
      <c r="V196" s="16" t="e">
        <f aca="false">SUMIFS(V$63:V$76, $A$63:$A$76,$A196, $C$63:$C$76, "$ Actual")/SUMIFS(V$63:V$76, $A$63:$A$76,$A196, $C$63:$C$76, "$ Budgeted")</f>
        <v>#DIV/0!</v>
      </c>
      <c r="W196" s="16" t="e">
        <f aca="false">SUMIFS(W$63:W$76, $A$63:$A$76,$A196, $C$63:$C$76, "$ Actual")/SUMIFS(W$63:W$76, $A$63:$A$76,$A196, $C$63:$C$76, "$ Budgeted")</f>
        <v>#DIV/0!</v>
      </c>
      <c r="X196" s="16" t="e">
        <f aca="false">SUMIFS(X$63:X$76, $A$63:$A$76,$A196, $C$63:$C$76, "$ Actual")/SUMIFS(X$63:X$76, $A$63:$A$76,$A196, $C$63:$C$76, "$ Budgeted")</f>
        <v>#DIV/0!</v>
      </c>
      <c r="Y196" s="16"/>
      <c r="Z196" s="16" t="e">
        <f aca="false">SUMIFS(Z$63:Z$76, $A$63:$A$76,$A196, $C$63:$C$76, "Actual")/SUMIFS(Z$63:Z$76, $A$63:$A$76,$A196, $C$63:$C$76, "Budgeted")</f>
        <v>#DIV/0!</v>
      </c>
      <c r="AA196" s="16" t="n">
        <f aca="false">SUMIFS(AA$63:AA$76, $A$63:$A$76,$A196, $C$63:$C$76, "$ Actual")/SUMIFS(AA$63:AA$76, $A$63:$A$76,$A196, $C$63:$C$76, "$ Budgeted")</f>
        <v>1.65580064669624</v>
      </c>
      <c r="AB196" s="16" t="e">
        <f aca="false">SUMIFS(AB$63:AB$76, $A$63:$A$76,$A196, $C$63:$C$76, "$ Actual")/SUMIFS(AB$63:AB$76, $A$63:$A$76,$A196, $C$63:$C$76, "$ Budgeted")</f>
        <v>#DIV/0!</v>
      </c>
      <c r="AC196" s="16" t="e">
        <f aca="false">SUMIFS(AC$63:AC$76, $A$63:$A$76,$A196, $C$63:$C$76, "Actual")/SUMIFS(AC$63:AC$76, $A$63:$A$76,$A196, $C$63:$C$76, "Budgeted")</f>
        <v>#DIV/0!</v>
      </c>
      <c r="AD196" s="16" t="n">
        <f aca="false">SUMIFS(AD$63:AD$76, $A$63:$A$76,$A196, $C$63:$C$76, "$ Actual")/SUMIFS(AD$63:AD$76, $A$63:$A$76,$A196, $C$63:$C$76, "$ Budgeted")</f>
        <v>1.55118493844941</v>
      </c>
      <c r="AE196" s="16" t="n">
        <f aca="false">SUMIFS(AE$63:AE$76, $A$63:$A$76,$A196, $C$63:$C$76, "$ Actual")/SUMIFS(AE$63:AE$76, $A$63:$A$76,$A196, $C$63:$C$76, "$ Budgeted")</f>
        <v>0.948566787584305</v>
      </c>
      <c r="AF196" s="16" t="n">
        <f aca="false">SUMIFS(AF$63:AF$76, $A$63:$A$76,$A196, $C$63:$C$76, "$ Actual")/SUMIFS(AF$63:AF$76, $A$63:$A$76,$A196, $C$63:$C$76, "$ Budgeted")</f>
        <v>1.10553297092886</v>
      </c>
      <c r="AG196" s="16" t="n">
        <f aca="false">SUMIFS(AG$63:AG$76, $A$63:$A$76,$A196, $C$63:$C$76, "$ Actual")/SUMIFS(AG$63:AG$76, $A$63:$A$76,$A196, $C$63:$C$76, "$ Budgeted")</f>
        <v>0.788577196376779</v>
      </c>
      <c r="AH196" s="16" t="n">
        <f aca="false">SUMIFS(AH$63:AH$76, $A$63:$A$76,$A196, $C$63:$C$76, "$ Actual")/SUMIFS(AH$63:AH$76, $A$63:$A$76,$A196, $C$63:$C$76, "$ Budgeted")</f>
        <v>0.651270486698633</v>
      </c>
      <c r="AI196" s="16" t="n">
        <f aca="false">SUMIFS(AI$63:AI$76, $A$63:$A$76,$A196, $C$63:$C$76, "$ Actual")/SUMIFS(AI$63:AI$76, $A$63:$A$76,$A196, $C$63:$C$76, "$ Budgeted")</f>
        <v>0.879127699756089</v>
      </c>
      <c r="AJ196" s="16" t="e">
        <f aca="false">SUMIFS(AJ$63:AJ$76, $A$63:$A$76,$A196, $C$63:$C$76, "$ Actual")/SUMIFS(AJ$63:AJ$76, $A$63:$A$76,$A196, $C$63:$C$76, "$ Budgeted")</f>
        <v>#DIV/0!</v>
      </c>
      <c r="AK196" s="16"/>
      <c r="AL196" s="16" t="n">
        <f aca="false">SUMIFS(AL$63:AL$76, $A$63:$A$76,$A196, $C$63:$C$76, "$ Actual")/SUMIFS(AL$63:AL$76, $A$63:$A$76,$A196, $C$63:$C$76, "$ Budgeted")</f>
        <v>0.722847197392991</v>
      </c>
      <c r="AM196" s="16" t="n">
        <f aca="false">SUMIFS(AM$63:AM$76, $A$63:$A$76,$A196, $C$63:$C$76, "$ Actual")/SUMIFS(AM$63:AM$76, $A$63:$A$76,$A196, $C$63:$C$76, "$ Budgeted")</f>
        <v>0</v>
      </c>
      <c r="AN196" s="16" t="n">
        <f aca="false">SUMIFS(AN$63:AN$76, $A$63:$A$76,$A196, $C$63:$C$76, "$ Actual")/SUMIFS(AN$63:AN$76, $A$63:$A$76,$A196, $C$63:$C$76, "$ Budgeted")</f>
        <v>0.657351449625449</v>
      </c>
      <c r="AO196" s="16" t="n">
        <f aca="false">SUMIFS(AO$63:AO$76, $A$63:$A$76,$A196, $C$63:$C$76, "$ Actual")/SUMIFS(AO$63:AO$76, $A$63:$A$76,$A196, $C$63:$C$76, "$ Budgeted")</f>
        <v>0.75296890444675</v>
      </c>
      <c r="AP196" s="16" t="n">
        <f aca="false">SUMIFS(AP$63:AP$76, $A$63:$A$76,$A196, $C$63:$C$76, "$ Actual")/SUMIFS(AP$63:AP$76, $A$63:$A$76,$A196, $C$63:$C$76, "$ Budgeted")</f>
        <v>0.38304106623972</v>
      </c>
      <c r="AQ196" s="16" t="n">
        <f aca="false">SUMIFS(AQ$63:AQ$76, $A$63:$A$76,$A196, $C$63:$C$76, "$ Actual")/SUMIFS(AQ$63:AQ$76, $A$63:$A$76,$A196, $C$63:$C$76, "$ Budgeted")</f>
        <v>0</v>
      </c>
      <c r="AR196" s="16" t="n">
        <f aca="false">SUMIFS(AR$63:AR$76, $A$63:$A$76,$A196, $C$63:$C$76, "$ Actual")/SUMIFS(AR$63:AR$76, $A$63:$A$76,$A196, $C$63:$C$76, "$ Budgeted")</f>
        <v>0.278872418456111</v>
      </c>
      <c r="AS196" s="16" t="e">
        <f aca="false">SUMIFS(AS$63:AS$76, $A$63:$A$76,$A196, $C$63:$C$76, "$ Actual")/SUMIFS(AS$63:AS$76, $A$63:$A$76,$A196, $C$63:$C$76, "$ Budgeted")</f>
        <v>#DIV/0!</v>
      </c>
      <c r="AT196" s="16" t="e">
        <f aca="false">SUMIFS(AT$63:AT$76, $A$63:$A$76,$A196, $C$63:$C$76, "$ Actual")/SUMIFS(AT$63:AT$76, $A$63:$A$76,$A196, $C$63:$C$76, "$ Budgeted")</f>
        <v>#DIV/0!</v>
      </c>
      <c r="AU196" s="16" t="e">
        <f aca="false">SUMIFS(AU$63:AU$76, $A$63:$A$76,$A196, $C$63:$C$76, "$ Actual")/SUMIFS(AU$63:AU$76, $A$63:$A$76,$A196, $C$63:$C$76, "$ Budgeted")</f>
        <v>#DIV/0!</v>
      </c>
      <c r="AV196" s="16"/>
      <c r="AW196" s="16"/>
      <c r="AX196" s="16"/>
      <c r="AY196" s="16" t="n">
        <f aca="false">SUMIFS(AY$63:AY$76, $A$63:$A$76,$A196, $C$63:$C$76, "$ Actual")/SUMIFS(AY$63:AY$76, $A$63:$A$76,$A196, $C$63:$C$76, "$ Budgeted")</f>
        <v>0.463408343159256</v>
      </c>
      <c r="AZ196" s="16" t="n">
        <f aca="false">SUMIFS(AZ$63:AZ$76, $A$63:$A$76,$A196, $C$63:$C$76, "$ Actual")/SUMIFS(AZ$63:AZ$76, $A$63:$A$76,$A196, $C$63:$C$76, "$ Budgeted")</f>
        <v>0.665816790592377</v>
      </c>
      <c r="BA196" s="16" t="n">
        <f aca="false">SUMIFS(BA$63:BA$76, $A$63:$A$76,$A196, $C$63:$C$76, "$ Actual")/SUMIFS(BA$63:BA$76, $A$63:$A$76,$A196, $C$63:$C$76, "$ Budgeted")</f>
        <v>1.14618281454432</v>
      </c>
      <c r="BB196" s="16" t="n">
        <f aca="false">SUMIFS(BB$63:BB$76, $A$63:$A$76,$A196, $C$63:$C$76, "$ Actual")/SUMIFS(BB$63:BB$76, $A$63:$A$76,$A196, $C$63:$C$76, "$ Budgeted")</f>
        <v>1.65580064669624</v>
      </c>
      <c r="BC196" s="16" t="n">
        <f aca="false">SUMIFS(BC$63:BC$76, $A$63:$A$76,$A196, $C$63:$C$76, "$ Actual")/SUMIFS(BC$63:BC$76, $A$63:$A$76,$A196, $C$63:$C$76, "$ Budgeted")</f>
        <v>0.932375722729402</v>
      </c>
      <c r="BD196" s="16"/>
      <c r="BE196" s="16" t="n">
        <f aca="false">SUMIFS(BE$63:BE$76, $A$63:$A$76,$A196, $C$63:$C$76, "$ Actual")/SUMIFS(BE$63:BE$76, $A$63:$A$76,$A196, $C$63:$C$76, "$ Budgeted")</f>
        <v>0.69892966426886</v>
      </c>
    </row>
    <row r="197" customFormat="false" ht="12.75" hidden="false" customHeight="true" outlineLevel="0" collapsed="false">
      <c r="A197" s="1" t="s">
        <v>54</v>
      </c>
      <c r="B197" s="1" t="n">
        <v>2023</v>
      </c>
      <c r="C197" s="1" t="s">
        <v>80</v>
      </c>
      <c r="D197" s="16" t="n">
        <f aca="false">SUMIFS(D$63:D$76, $A$63:$A$76,$A197, $C$63:$C$76, "$ Actual")/SUMIFS(D$63:D$76, $A$63:$A$76,$A197, $C$63:$C$76, "$ Budgeted")</f>
        <v>1.75349668673646</v>
      </c>
      <c r="E197" s="16" t="e">
        <f aca="false">SUMIFS(E$63:E$76, $A$63:$A$76,$A197, $C$63:$C$76, "$ Actual")/SUMIFS(E$63:E$76, $A$63:$A$76,$A197, $C$63:$C$76, "$ Budgeted")</f>
        <v>#DIV/0!</v>
      </c>
      <c r="F197" s="16" t="e">
        <f aca="false">SUMIFS(F$63:F$76, $A$63:$A$76,$A197, $C$63:$C$76, "$ Actual")/SUMIFS(F$63:F$76, $A$63:$A$76,$A197, $C$63:$C$76, "$ Budgeted")</f>
        <v>#DIV/0!</v>
      </c>
      <c r="G197" s="16" t="n">
        <f aca="false">SUMIFS(G$63:G$76, $A$63:$A$76,$A197, $C$63:$C$76, "$ Actual")/SUMIFS(G$63:G$76, $A$63:$A$76,$A197, $C$63:$C$76, "$ Budgeted")</f>
        <v>0.723666547378273</v>
      </c>
      <c r="H197" s="16" t="n">
        <f aca="false">SUMIFS(H$63:H$76, $A$63:$A$76,$A197, $C$63:$C$76, "$ Actual")/SUMIFS(H$63:H$76, $A$63:$A$76,$A197, $C$63:$C$76, "$ Budgeted")</f>
        <v>0.790976773859608</v>
      </c>
      <c r="I197" s="16" t="n">
        <f aca="false">SUMIFS(I$63:I$76, $A$63:$A$76,$A197, $C$63:$C$76, "$ Actual")/SUMIFS(I$63:I$76, $A$63:$A$76,$A197, $C$63:$C$76, "$ Budgeted")</f>
        <v>0.435183663528463</v>
      </c>
      <c r="J197" s="16" t="n">
        <f aca="false">SUMIFS(J$63:J$76, $A$63:$A$76,$A197, $C$63:$C$76, "$ Actual")/SUMIFS(J$63:J$76, $A$63:$A$76,$A197, $C$63:$C$76, "$ Budgeted")</f>
        <v>0.563815987933635</v>
      </c>
      <c r="K197" s="16" t="e">
        <f aca="false">SUMIFS(K$63:K$76, $A$63:$A$76,$A197, $C$63:$C$76, "$ Actual")/SUMIFS(K$63:K$76, $A$63:$A$76,$A197, $C$63:$C$76, "$ Budgeted")</f>
        <v>#DIV/0!</v>
      </c>
      <c r="L197" s="16" t="e">
        <f aca="false">SUMIFS(L$63:L$76, $A$63:$A$76,$A197, $C$63:$C$76, "$ Actual")/SUMIFS(L$63:L$76, $A$63:$A$76,$A197, $C$63:$C$76, "$ Budgeted")</f>
        <v>#DIV/0!</v>
      </c>
      <c r="M197" s="16" t="e">
        <f aca="false">SUMIFS(M$63:M$76, $A$63:$A$76,$A197, $C$63:$C$76, "$ Actual")/SUMIFS(M$63:M$76, $A$63:$A$76,$A197, $C$63:$C$76, "$ Budgeted")</f>
        <v>#DIV/0!</v>
      </c>
      <c r="N197" s="16"/>
      <c r="O197" s="16" t="n">
        <f aca="false">SUMIFS(O$63:O$76, $A$63:$A$76,$A197, $C$63:$C$76, "$ Actual")/SUMIFS(O$63:O$76, $A$63:$A$76,$A197, $C$63:$C$76, "$ Budgeted")</f>
        <v>0</v>
      </c>
      <c r="P197" s="16" t="n">
        <f aca="false">SUMIFS(P$63:P$76, $A$63:$A$76,$A197, $C$63:$C$76, "$ Actual")/SUMIFS(P$63:P$76, $A$63:$A$76,$A197, $C$63:$C$76, "$ Budgeted")</f>
        <v>0.974954373753236</v>
      </c>
      <c r="Q197" s="16" t="n">
        <f aca="false">SUMIFS(Q$63:Q$76, $A$63:$A$76,$A197, $C$63:$C$76, "$ Actual")/SUMIFS(Q$63:Q$76, $A$63:$A$76,$A197, $C$63:$C$76, "$ Budgeted")</f>
        <v>1.05073805081239</v>
      </c>
      <c r="R197" s="16" t="e">
        <f aca="false">SUMIFS(R$63:R$76, $A$63:$A$76,$A197, $C$63:$C$76, "$ Actual")/SUMIFS(R$63:R$76, $A$63:$A$76,$A197, $C$63:$C$76, "$ Budgeted")</f>
        <v>#DIV/0!</v>
      </c>
      <c r="S197" s="16" t="n">
        <f aca="false">SUMIFS(S$63:S$76, $A$63:$A$76,$A197, $C$63:$C$76, "$ Actual")/SUMIFS(S$63:S$76, $A$63:$A$76,$A197, $C$63:$C$76, "$ Budgeted")</f>
        <v>0.92215776293823</v>
      </c>
      <c r="T197" s="16" t="e">
        <f aca="false">SUMIFS(T$63:T$76, $A$63:$A$76,$A197, $C$63:$C$76, "$ Actual")/SUMIFS(T$63:T$76, $A$63:$A$76,$A197, $C$63:$C$76, "$ Budgeted")</f>
        <v>#DIV/0!</v>
      </c>
      <c r="U197" s="16" t="e">
        <f aca="false">SUMIFS(U$63:U$76, $A$63:$A$76,$A197, $C$63:$C$76, "$ Actual")/SUMIFS(U$63:U$76, $A$63:$A$76,$A197, $C$63:$C$76, "$ Budgeted")</f>
        <v>#DIV/0!</v>
      </c>
      <c r="V197" s="16" t="e">
        <f aca="false">SUMIFS(V$63:V$76, $A$63:$A$76,$A197, $C$63:$C$76, "$ Actual")/SUMIFS(V$63:V$76, $A$63:$A$76,$A197, $C$63:$C$76, "$ Budgeted")</f>
        <v>#DIV/0!</v>
      </c>
      <c r="W197" s="16" t="e">
        <f aca="false">SUMIFS(W$63:W$76, $A$63:$A$76,$A197, $C$63:$C$76, "$ Actual")/SUMIFS(W$63:W$76, $A$63:$A$76,$A197, $C$63:$C$76, "$ Budgeted")</f>
        <v>#DIV/0!</v>
      </c>
      <c r="X197" s="16" t="e">
        <f aca="false">SUMIFS(X$63:X$76, $A$63:$A$76,$A197, $C$63:$C$76, "$ Actual")/SUMIFS(X$63:X$76, $A$63:$A$76,$A197, $C$63:$C$76, "$ Budgeted")</f>
        <v>#DIV/0!</v>
      </c>
      <c r="Y197" s="16"/>
      <c r="Z197" s="16" t="e">
        <f aca="false">SUMIFS(Z$63:Z$76, $A$63:$A$76,$A197, $C$63:$C$76, "Actual")/SUMIFS(Z$63:Z$76, $A$63:$A$76,$A197, $C$63:$C$76, "Budgeted")</f>
        <v>#DIV/0!</v>
      </c>
      <c r="AA197" s="16" t="n">
        <f aca="false">SUMIFS(AA$63:AA$76, $A$63:$A$76,$A197, $C$63:$C$76, "$ Actual")/SUMIFS(AA$63:AA$76, $A$63:$A$76,$A197, $C$63:$C$76, "$ Budgeted")</f>
        <v>0.463740927804423</v>
      </c>
      <c r="AB197" s="16" t="n">
        <f aca="false">SUMIFS(AB$63:AB$76, $A$63:$A$76,$A197, $C$63:$C$76, "$ Actual")/SUMIFS(AB$63:AB$76, $A$63:$A$76,$A197, $C$63:$C$76, "$ Budgeted")</f>
        <v>0.367328907176937</v>
      </c>
      <c r="AC197" s="16" t="e">
        <f aca="false">SUMIFS(AC$63:AC$76, $A$63:$A$76,$A197, $C$63:$C$76, "Actual")/SUMIFS(AC$63:AC$76, $A$63:$A$76,$A197, $C$63:$C$76, "Budgeted")</f>
        <v>#DIV/0!</v>
      </c>
      <c r="AD197" s="16" t="n">
        <f aca="false">SUMIFS(AD$63:AD$76, $A$63:$A$76,$A197, $C$63:$C$76, "$ Actual")/SUMIFS(AD$63:AD$76, $A$63:$A$76,$A197, $C$63:$C$76, "$ Budgeted")</f>
        <v>0.678783400966147</v>
      </c>
      <c r="AE197" s="16" t="n">
        <f aca="false">SUMIFS(AE$63:AE$76, $A$63:$A$76,$A197, $C$63:$C$76, "$ Actual")/SUMIFS(AE$63:AE$76, $A$63:$A$76,$A197, $C$63:$C$76, "$ Budgeted")</f>
        <v>2.64375697302409</v>
      </c>
      <c r="AF197" s="16" t="n">
        <f aca="false">SUMIFS(AF$63:AF$76, $A$63:$A$76,$A197, $C$63:$C$76, "$ Actual")/SUMIFS(AF$63:AF$76, $A$63:$A$76,$A197, $C$63:$C$76, "$ Budgeted")</f>
        <v>0.856837715169965</v>
      </c>
      <c r="AG197" s="16" t="n">
        <f aca="false">SUMIFS(AG$63:AG$76, $A$63:$A$76,$A197, $C$63:$C$76, "$ Actual")/SUMIFS(AG$63:AG$76, $A$63:$A$76,$A197, $C$63:$C$76, "$ Budgeted")</f>
        <v>0.804574944071588</v>
      </c>
      <c r="AH197" s="16" t="n">
        <f aca="false">SUMIFS(AH$63:AH$76, $A$63:$A$76,$A197, $C$63:$C$76, "$ Actual")/SUMIFS(AH$63:AH$76, $A$63:$A$76,$A197, $C$63:$C$76, "$ Budgeted")</f>
        <v>0.430588235294118</v>
      </c>
      <c r="AI197" s="16" t="n">
        <f aca="false">SUMIFS(AI$63:AI$76, $A$63:$A$76,$A197, $C$63:$C$76, "$ Actual")/SUMIFS(AI$63:AI$76, $A$63:$A$76,$A197, $C$63:$C$76, "$ Budgeted")</f>
        <v>0.558597445514297</v>
      </c>
      <c r="AJ197" s="16" t="e">
        <f aca="false">SUMIFS(AJ$63:AJ$76, $A$63:$A$76,$A197, $C$63:$C$76, "$ Actual")/SUMIFS(AJ$63:AJ$76, $A$63:$A$76,$A197, $C$63:$C$76, "$ Budgeted")</f>
        <v>#DIV/0!</v>
      </c>
      <c r="AK197" s="16"/>
      <c r="AL197" s="16" t="n">
        <f aca="false">SUMIFS(AL$63:AL$76, $A$63:$A$76,$A197, $C$63:$C$76, "$ Actual")/SUMIFS(AL$63:AL$76, $A$63:$A$76,$A197, $C$63:$C$76, "$ Budgeted")</f>
        <v>1.17944444444444</v>
      </c>
      <c r="AM197" s="16" t="e">
        <f aca="false">SUMIFS(AM$63:AM$76, $A$63:$A$76,$A197, $C$63:$C$76, "$ Actual")/SUMIFS(AM$63:AM$76, $A$63:$A$76,$A197, $C$63:$C$76, "$ Budgeted")</f>
        <v>#DIV/0!</v>
      </c>
      <c r="AN197" s="16" t="n">
        <f aca="false">SUMIFS(AN$63:AN$76, $A$63:$A$76,$A197, $C$63:$C$76, "$ Actual")/SUMIFS(AN$63:AN$76, $A$63:$A$76,$A197, $C$63:$C$76, "$ Budgeted")</f>
        <v>0</v>
      </c>
      <c r="AO197" s="16" t="n">
        <f aca="false">SUMIFS(AO$63:AO$76, $A$63:$A$76,$A197, $C$63:$C$76, "$ Actual")/SUMIFS(AO$63:AO$76, $A$63:$A$76,$A197, $C$63:$C$76, "$ Budgeted")</f>
        <v>0</v>
      </c>
      <c r="AP197" s="16" t="n">
        <f aca="false">SUMIFS(AP$63:AP$76, $A$63:$A$76,$A197, $C$63:$C$76, "$ Actual")/SUMIFS(AP$63:AP$76, $A$63:$A$76,$A197, $C$63:$C$76, "$ Budgeted")</f>
        <v>0.511564738292011</v>
      </c>
      <c r="AQ197" s="16" t="n">
        <f aca="false">SUMIFS(AQ$63:AQ$76, $A$63:$A$76,$A197, $C$63:$C$76, "$ Actual")/SUMIFS(AQ$63:AQ$76, $A$63:$A$76,$A197, $C$63:$C$76, "$ Budgeted")</f>
        <v>0</v>
      </c>
      <c r="AR197" s="16" t="n">
        <f aca="false">SUMIFS(AR$63:AR$76, $A$63:$A$76,$A197, $C$63:$C$76, "$ Actual")/SUMIFS(AR$63:AR$76, $A$63:$A$76,$A197, $C$63:$C$76, "$ Budgeted")</f>
        <v>0.201408211809272</v>
      </c>
      <c r="AS197" s="16" t="e">
        <f aca="false">SUMIFS(AS$63:AS$76, $A$63:$A$76,$A197, $C$63:$C$76, "$ Actual")/SUMIFS(AS$63:AS$76, $A$63:$A$76,$A197, $C$63:$C$76, "$ Budgeted")</f>
        <v>#DIV/0!</v>
      </c>
      <c r="AT197" s="16" t="e">
        <f aca="false">SUMIFS(AT$63:AT$76, $A$63:$A$76,$A197, $C$63:$C$76, "$ Actual")/SUMIFS(AT$63:AT$76, $A$63:$A$76,$A197, $C$63:$C$76, "$ Budgeted")</f>
        <v>#DIV/0!</v>
      </c>
      <c r="AU197" s="16" t="e">
        <f aca="false">SUMIFS(AU$63:AU$76, $A$63:$A$76,$A197, $C$63:$C$76, "$ Actual")/SUMIFS(AU$63:AU$76, $A$63:$A$76,$A197, $C$63:$C$76, "$ Budgeted")</f>
        <v>#DIV/0!</v>
      </c>
      <c r="AV197" s="16"/>
      <c r="AW197" s="16"/>
      <c r="AX197" s="16"/>
      <c r="AY197" s="16" t="n">
        <f aca="false">SUMIFS(AY$63:AY$76, $A$63:$A$76,$A197, $C$63:$C$76, "$ Actual")/SUMIFS(AY$63:AY$76, $A$63:$A$76,$A197, $C$63:$C$76, "$ Budgeted")</f>
        <v>0.200521223056958</v>
      </c>
      <c r="AZ197" s="16" t="n">
        <f aca="false">SUMIFS(AZ$63:AZ$76, $A$63:$A$76,$A197, $C$63:$C$76, "$ Actual")/SUMIFS(AZ$63:AZ$76, $A$63:$A$76,$A197, $C$63:$C$76, "$ Budgeted")</f>
        <v>0.685789235269217</v>
      </c>
      <c r="BA197" s="16" t="n">
        <f aca="false">SUMIFS(BA$63:BA$76, $A$63:$A$76,$A197, $C$63:$C$76, "$ Actual")/SUMIFS(BA$63:BA$76, $A$63:$A$76,$A197, $C$63:$C$76, "$ Budgeted")</f>
        <v>0.843039087755402</v>
      </c>
      <c r="BB197" s="16" t="n">
        <f aca="false">SUMIFS(BB$63:BB$76, $A$63:$A$76,$A197, $C$63:$C$76, "$ Actual")/SUMIFS(BB$63:BB$76, $A$63:$A$76,$A197, $C$63:$C$76, "$ Budgeted")</f>
        <v>0.408442139022722</v>
      </c>
      <c r="BC197" s="16" t="n">
        <f aca="false">SUMIFS(BC$63:BC$76, $A$63:$A$76,$A197, $C$63:$C$76, "$ Actual")/SUMIFS(BC$63:BC$76, $A$63:$A$76,$A197, $C$63:$C$76, "$ Budgeted")</f>
        <v>0.801398714921607</v>
      </c>
      <c r="BD197" s="16"/>
      <c r="BE197" s="16" t="n">
        <f aca="false">SUMIFS(BE$63:BE$76, $A$63:$A$76,$A197, $C$63:$C$76, "$ Actual")/SUMIFS(BE$63:BE$76, $A$63:$A$76,$A197, $C$63:$C$76, "$ Budgeted")</f>
        <v>0.657002861211526</v>
      </c>
    </row>
    <row r="198" customFormat="false" ht="12.75" hidden="false" customHeight="true" outlineLevel="0" collapsed="false">
      <c r="A198" s="1" t="s">
        <v>78</v>
      </c>
      <c r="B198" s="1" t="n">
        <v>2023</v>
      </c>
      <c r="C198" s="1" t="s">
        <v>80</v>
      </c>
      <c r="D198" s="16" t="n">
        <f aca="false">(D64+D66)/(D63+D65)</f>
        <v>1.47702800768839</v>
      </c>
      <c r="E198" s="16" t="n">
        <f aca="false">(E64+E66)/(E63+E65)</f>
        <v>1.39098232404326</v>
      </c>
      <c r="F198" s="16" t="n">
        <f aca="false">(F64+F66)/(F63+F65)</f>
        <v>0.543100386456345</v>
      </c>
      <c r="G198" s="16" t="n">
        <f aca="false">(G64+G66)/(G63+G65)</f>
        <v>0.666622526418174</v>
      </c>
      <c r="H198" s="16" t="n">
        <f aca="false">(H64+H66)/(H63+H65)</f>
        <v>0.715155892608287</v>
      </c>
      <c r="I198" s="16" t="n">
        <f aca="false">(I64+I66)/(I63+I65)</f>
        <v>0.535559485789886</v>
      </c>
      <c r="J198" s="16" t="n">
        <f aca="false">(J64+J66)/(J63+J65)</f>
        <v>0.293145472889417</v>
      </c>
      <c r="K198" s="16" t="e">
        <f aca="false">(K64+K66)/(K63+K65)</f>
        <v>#DIV/0!</v>
      </c>
      <c r="L198" s="16" t="e">
        <f aca="false">(L64+L66)/(L63+L65)</f>
        <v>#DIV/0!</v>
      </c>
      <c r="M198" s="16" t="e">
        <f aca="false">(M64+M66)/(M63+M65)</f>
        <v>#DIV/0!</v>
      </c>
      <c r="N198" s="16"/>
      <c r="O198" s="16" t="n">
        <f aca="false">(O64+O66)/(O63+O65)</f>
        <v>0.809780427466171</v>
      </c>
      <c r="P198" s="16" t="n">
        <f aca="false">(P64+P66)/(P63+P65)</f>
        <v>1.10290973678963</v>
      </c>
      <c r="Q198" s="16" t="n">
        <f aca="false">(Q64+Q66)/(Q63+Q65)</f>
        <v>1.14768117356749</v>
      </c>
      <c r="R198" s="16" t="e">
        <f aca="false">(R64+R66)/(R63+R65)</f>
        <v>#DIV/0!</v>
      </c>
      <c r="S198" s="16" t="n">
        <f aca="false">(S64+S66)/(S63+S65)</f>
        <v>0.973027567403817</v>
      </c>
      <c r="T198" s="16" t="e">
        <f aca="false">(T64+T66)/(T63+T65)</f>
        <v>#DIV/0!</v>
      </c>
      <c r="U198" s="16" t="e">
        <f aca="false">(U64+U66)/(U63+U65)</f>
        <v>#DIV/0!</v>
      </c>
      <c r="V198" s="16" t="e">
        <f aca="false">(V64+V66)/(V63+V65)</f>
        <v>#DIV/0!</v>
      </c>
      <c r="W198" s="16" t="e">
        <f aca="false">(W64+W66)/(W63+W65)</f>
        <v>#DIV/0!</v>
      </c>
      <c r="X198" s="16" t="e">
        <f aca="false">(X64+X66)/(X63+X65)</f>
        <v>#DIV/0!</v>
      </c>
      <c r="Y198" s="16"/>
      <c r="Z198" s="16" t="e">
        <f aca="false">(Z64+Z66)/(Z63+Z65)</f>
        <v>#DIV/0!</v>
      </c>
      <c r="AA198" s="16" t="n">
        <f aca="false">(AA64+AA66)/(AA63+AA65)</f>
        <v>1.21576694575353</v>
      </c>
      <c r="AB198" s="16" t="n">
        <f aca="false">(AB64+AB66)/(AB63+AB65)</f>
        <v>0.367328907176937</v>
      </c>
      <c r="AC198" s="16" t="e">
        <f aca="false">(AC64+AC66)/(AC63+AC65)</f>
        <v>#DIV/0!</v>
      </c>
      <c r="AD198" s="16" t="n">
        <f aca="false">(AD64+AD66)/(AD63+AD65)</f>
        <v>1.27932961550095</v>
      </c>
      <c r="AE198" s="16" t="n">
        <f aca="false">(AE64+AE66)/(AE63+AE65)</f>
        <v>1.27437791781308</v>
      </c>
      <c r="AF198" s="16" t="n">
        <f aca="false">(AF64+AF66)/(AF63+AF65)</f>
        <v>1.01873750339461</v>
      </c>
      <c r="AG198" s="16" t="n">
        <f aca="false">(AG64+AG66)/(AG63+AG65)</f>
        <v>0.794733579697949</v>
      </c>
      <c r="AH198" s="16" t="n">
        <f aca="false">(AH64+AH66)/(AH63+AH65)</f>
        <v>0.595639020365433</v>
      </c>
      <c r="AI198" s="16" t="n">
        <f aca="false">(AI64+AI66)/(AI63+AI65)</f>
        <v>0.760865436904937</v>
      </c>
      <c r="AJ198" s="16" t="e">
        <f aca="false">(AJ64+AJ66)/(AJ63+AJ65)</f>
        <v>#DIV/0!</v>
      </c>
      <c r="AK198" s="16"/>
      <c r="AL198" s="16" t="n">
        <f aca="false">(AL64+AL66)/(AL63+AL65)</f>
        <v>0.758828599107201</v>
      </c>
      <c r="AM198" s="16" t="n">
        <f aca="false">(AM64+AM66)/(AM63+AM65)</f>
        <v>0</v>
      </c>
      <c r="AN198" s="16" t="n">
        <f aca="false">(AN64+AN66)/(AN63+AN65)</f>
        <v>0.500128987448529</v>
      </c>
      <c r="AO198" s="16" t="n">
        <f aca="false">(AO64+AO66)/(AO63+AO65)</f>
        <v>0.674436053489204</v>
      </c>
      <c r="AP198" s="16" t="n">
        <f aca="false">(AP64+AP66)/(AP63+AP65)</f>
        <v>0.391860745604915</v>
      </c>
      <c r="AQ198" s="16" t="n">
        <f aca="false">(AQ64+AQ66)/(AQ63+AQ65)</f>
        <v>0</v>
      </c>
      <c r="AR198" s="16" t="n">
        <f aca="false">(AR64+AR66)/(AR63+AR65)</f>
        <v>0.261438680745789</v>
      </c>
      <c r="AS198" s="16" t="e">
        <f aca="false">(AS64+AS66)/(AS63+AS65)</f>
        <v>#DIV/0!</v>
      </c>
      <c r="AT198" s="16" t="e">
        <f aca="false">(AT64+AT66)/(AT63+AT65)</f>
        <v>#DIV/0!</v>
      </c>
      <c r="AU198" s="16" t="e">
        <f aca="false">(AU64+AU66)/(AU63+AU65)</f>
        <v>#DIV/0!</v>
      </c>
      <c r="AV198" s="16"/>
      <c r="AW198" s="16"/>
      <c r="AX198" s="16"/>
      <c r="AY198" s="16" t="n">
        <f aca="false">(AY64+AY66)/(AY63+AY65)</f>
        <v>0.43132783406392</v>
      </c>
      <c r="AZ198" s="16" t="n">
        <f aca="false">(AZ64+AZ66)/(AZ63+AZ65)</f>
        <v>0.671369349062402</v>
      </c>
      <c r="BA198" s="16" t="n">
        <f aca="false">(BA64+BA66)/(BA63+BA65)</f>
        <v>1.03344385247761</v>
      </c>
      <c r="BB198" s="16" t="n">
        <f aca="false">(BB64+BB66)/(BB63+BB65)</f>
        <v>0.93427598683384</v>
      </c>
      <c r="BC198" s="16" t="n">
        <f aca="false">(BC64+BC66)/(BC63+BC65)</f>
        <v>0.892317214476569</v>
      </c>
      <c r="BD198" s="16"/>
      <c r="BE198" s="16" t="n">
        <f aca="false">(BE64+BE66)/(BE63+BE65)</f>
        <v>0.688731458639334</v>
      </c>
    </row>
    <row r="199" customFormat="false" ht="12.75" hidden="false" customHeight="true" outlineLevel="0" collapsed="false">
      <c r="A199" s="1" t="s">
        <v>55</v>
      </c>
      <c r="B199" s="1" t="n">
        <v>2023</v>
      </c>
      <c r="C199" s="1" t="s">
        <v>80</v>
      </c>
      <c r="D199" s="16" t="n">
        <f aca="false">SUMIFS(D$63:D$76, $A$63:$A$76,$A199, $C$63:$C$76, "$ Actual")/SUMIFS(D$63:D$76, $A$63:$A$76,$A199, $C$63:$C$76, "$ Budgeted")</f>
        <v>0.832859877989031</v>
      </c>
      <c r="E199" s="16" t="n">
        <f aca="false">SUMIFS(E$63:E$76, $A$63:$A$76,$A199, $C$63:$C$76, "$ Actual")/SUMIFS(E$63:E$76, $A$63:$A$76,$A199, $C$63:$C$76, "$ Budgeted")</f>
        <v>1.06889731225847</v>
      </c>
      <c r="F199" s="16" t="n">
        <f aca="false">SUMIFS(F$63:F$76, $A$63:$A$76,$A199, $C$63:$C$76, "$ Actual")/SUMIFS(F$63:F$76, $A$63:$A$76,$A199, $C$63:$C$76, "$ Budgeted")</f>
        <v>1.33836725088759</v>
      </c>
      <c r="G199" s="16" t="n">
        <f aca="false">SUMIFS(G$63:G$76, $A$63:$A$76,$A199, $C$63:$C$76, "$ Actual")/SUMIFS(G$63:G$76, $A$63:$A$76,$A199, $C$63:$C$76, "$ Budgeted")</f>
        <v>0.984364847244673</v>
      </c>
      <c r="H199" s="16" t="n">
        <f aca="false">SUMIFS(H$63:H$76, $A$63:$A$76,$A199, $C$63:$C$76, "$ Actual")/SUMIFS(H$63:H$76, $A$63:$A$76,$A199, $C$63:$C$76, "$ Budgeted")</f>
        <v>1.04194024083692</v>
      </c>
      <c r="I199" s="16" t="n">
        <f aca="false">SUMIFS(I$63:I$76, $A$63:$A$76,$A199, $C$63:$C$76, "$ Actual")/SUMIFS(I$63:I$76, $A$63:$A$76,$A199, $C$63:$C$76, "$ Budgeted")</f>
        <v>0.688597455511524</v>
      </c>
      <c r="J199" s="16" t="n">
        <f aca="false">SUMIFS(J$63:J$76, $A$63:$A$76,$A199, $C$63:$C$76, "$ Actual")/SUMIFS(J$63:J$76, $A$63:$A$76,$A199, $C$63:$C$76, "$ Budgeted")</f>
        <v>0.292595402779152</v>
      </c>
      <c r="K199" s="16" t="e">
        <f aca="false">SUMIFS(K$63:K$76, $A$63:$A$76,$A199, $C$63:$C$76, "$ Actual")/SUMIFS(K$63:K$76, $A$63:$A$76,$A199, $C$63:$C$76, "$ Budgeted")</f>
        <v>#DIV/0!</v>
      </c>
      <c r="L199" s="16" t="e">
        <f aca="false">SUMIFS(L$63:L$76, $A$63:$A$76,$A199, $C$63:$C$76, "$ Actual")/SUMIFS(L$63:L$76, $A$63:$A$76,$A199, $C$63:$C$76, "$ Budgeted")</f>
        <v>#DIV/0!</v>
      </c>
      <c r="M199" s="16" t="e">
        <f aca="false">SUMIFS(M$63:M$76, $A$63:$A$76,$A199, $C$63:$C$76, "$ Actual")/SUMIFS(M$63:M$76, $A$63:$A$76,$A199, $C$63:$C$76, "$ Budgeted")</f>
        <v>#DIV/0!</v>
      </c>
      <c r="N199" s="16"/>
      <c r="O199" s="16" t="n">
        <f aca="false">SUMIFS(O$63:O$76, $A$63:$A$76,$A199, $C$63:$C$76, "$ Actual")/SUMIFS(O$63:O$76, $A$63:$A$76,$A199, $C$63:$C$76, "$ Budgeted")</f>
        <v>1.08586973754047</v>
      </c>
      <c r="P199" s="16" t="n">
        <f aca="false">SUMIFS(P$63:P$76, $A$63:$A$76,$A199, $C$63:$C$76, "$ Actual")/SUMIFS(P$63:P$76, $A$63:$A$76,$A199, $C$63:$C$76, "$ Budgeted")</f>
        <v>1.36321228416858</v>
      </c>
      <c r="Q199" s="16" t="n">
        <f aca="false">SUMIFS(Q$63:Q$76, $A$63:$A$76,$A199, $C$63:$C$76, "$ Actual")/SUMIFS(Q$63:Q$76, $A$63:$A$76,$A199, $C$63:$C$76, "$ Budgeted")</f>
        <v>1.2887454016383</v>
      </c>
      <c r="R199" s="16" t="n">
        <f aca="false">SUMIFS(R$63:R$76, $A$63:$A$76,$A199, $C$63:$C$76, "$ Actual")/SUMIFS(R$63:R$76, $A$63:$A$76,$A199, $C$63:$C$76, "$ Budgeted")</f>
        <v>1.09856460868307</v>
      </c>
      <c r="S199" s="16" t="n">
        <f aca="false">SUMIFS(S$63:S$76, $A$63:$A$76,$A199, $C$63:$C$76, "$ Actual")/SUMIFS(S$63:S$76, $A$63:$A$76,$A199, $C$63:$C$76, "$ Budgeted")</f>
        <v>1.11588835377206</v>
      </c>
      <c r="T199" s="16" t="e">
        <f aca="false">SUMIFS(T$63:T$76, $A$63:$A$76,$A199, $C$63:$C$76, "$ Actual")/SUMIFS(T$63:T$76, $A$63:$A$76,$A199, $C$63:$C$76, "$ Budgeted")</f>
        <v>#DIV/0!</v>
      </c>
      <c r="U199" s="16" t="e">
        <f aca="false">SUMIFS(U$63:U$76, $A$63:$A$76,$A199, $C$63:$C$76, "$ Actual")/SUMIFS(U$63:U$76, $A$63:$A$76,$A199, $C$63:$C$76, "$ Budgeted")</f>
        <v>#DIV/0!</v>
      </c>
      <c r="V199" s="16" t="e">
        <f aca="false">SUMIFS(V$63:V$76, $A$63:$A$76,$A199, $C$63:$C$76, "$ Actual")/SUMIFS(V$63:V$76, $A$63:$A$76,$A199, $C$63:$C$76, "$ Budgeted")</f>
        <v>#DIV/0!</v>
      </c>
      <c r="W199" s="16" t="e">
        <f aca="false">SUMIFS(W$63:W$76, $A$63:$A$76,$A199, $C$63:$C$76, "$ Actual")/SUMIFS(W$63:W$76, $A$63:$A$76,$A199, $C$63:$C$76, "$ Budgeted")</f>
        <v>#DIV/0!</v>
      </c>
      <c r="X199" s="16" t="e">
        <f aca="false">SUMIFS(X$63:X$76, $A$63:$A$76,$A199, $C$63:$C$76, "$ Actual")/SUMIFS(X$63:X$76, $A$63:$A$76,$A199, $C$63:$C$76, "$ Budgeted")</f>
        <v>#DIV/0!</v>
      </c>
      <c r="Y199" s="16"/>
      <c r="Z199" s="16" t="e">
        <f aca="false">SUMIFS(Z$63:Z$76, $A$63:$A$76,$A199, $C$63:$C$76, "Actual")/SUMIFS(Z$63:Z$76, $A$63:$A$76,$A199, $C$63:$C$76, "Budgeted")</f>
        <v>#DIV/0!</v>
      </c>
      <c r="AA199" s="16" t="n">
        <f aca="false">SUMIFS(AA$63:AA$76, $A$63:$A$76,$A199, $C$63:$C$76, "$ Actual")/SUMIFS(AA$63:AA$76, $A$63:$A$76,$A199, $C$63:$C$76, "$ Budgeted")</f>
        <v>1.12578206176906</v>
      </c>
      <c r="AB199" s="16" t="n">
        <f aca="false">SUMIFS(AB$63:AB$76, $A$63:$A$76,$A199, $C$63:$C$76, "$ Actual")/SUMIFS(AB$63:AB$76, $A$63:$A$76,$A199, $C$63:$C$76, "$ Budgeted")</f>
        <v>1.45141325178816</v>
      </c>
      <c r="AC199" s="16" t="e">
        <f aca="false">SUMIFS(AC$63:AC$76, $A$63:$A$76,$A199, $C$63:$C$76, "Actual")/SUMIFS(AC$63:AC$76, $A$63:$A$76,$A199, $C$63:$C$76, "Budgeted")</f>
        <v>#DIV/0!</v>
      </c>
      <c r="AD199" s="16" t="n">
        <f aca="false">SUMIFS(AD$63:AD$76, $A$63:$A$76,$A199, $C$63:$C$76, "$ Actual")/SUMIFS(AD$63:AD$76, $A$63:$A$76,$A199, $C$63:$C$76, "$ Budgeted")</f>
        <v>1.10288362455664</v>
      </c>
      <c r="AE199" s="16" t="n">
        <f aca="false">SUMIFS(AE$63:AE$76, $A$63:$A$76,$A199, $C$63:$C$76, "$ Actual")/SUMIFS(AE$63:AE$76, $A$63:$A$76,$A199, $C$63:$C$76, "$ Budgeted")</f>
        <v>1.3323885517897</v>
      </c>
      <c r="AF199" s="16" t="n">
        <f aca="false">SUMIFS(AF$63:AF$76, $A$63:$A$76,$A199, $C$63:$C$76, "$ Actual")/SUMIFS(AF$63:AF$76, $A$63:$A$76,$A199, $C$63:$C$76, "$ Budgeted")</f>
        <v>0.892560981559537</v>
      </c>
      <c r="AG199" s="16" t="n">
        <f aca="false">SUMIFS(AG$63:AG$76, $A$63:$A$76,$A199, $C$63:$C$76, "$ Actual")/SUMIFS(AG$63:AG$76, $A$63:$A$76,$A199, $C$63:$C$76, "$ Budgeted")</f>
        <v>1.14425644478646</v>
      </c>
      <c r="AH199" s="16" t="n">
        <f aca="false">SUMIFS(AH$63:AH$76, $A$63:$A$76,$A199, $C$63:$C$76, "$ Actual")/SUMIFS(AH$63:AH$76, $A$63:$A$76,$A199, $C$63:$C$76, "$ Budgeted")</f>
        <v>0.899293522820443</v>
      </c>
      <c r="AI199" s="16" t="n">
        <f aca="false">SUMIFS(AI$63:AI$76, $A$63:$A$76,$A199, $C$63:$C$76, "$ Actual")/SUMIFS(AI$63:AI$76, $A$63:$A$76,$A199, $C$63:$C$76, "$ Budgeted")</f>
        <v>1.16570095115667</v>
      </c>
      <c r="AJ199" s="16" t="e">
        <f aca="false">SUMIFS(AJ$63:AJ$76, $A$63:$A$76,$A199, $C$63:$C$76, "$ Actual")/SUMIFS(AJ$63:AJ$76, $A$63:$A$76,$A199, $C$63:$C$76, "$ Budgeted")</f>
        <v>#DIV/0!</v>
      </c>
      <c r="AK199" s="16"/>
      <c r="AL199" s="16" t="n">
        <f aca="false">SUMIFS(AL$63:AL$76, $A$63:$A$76,$A199, $C$63:$C$76, "$ Actual")/SUMIFS(AL$63:AL$76, $A$63:$A$76,$A199, $C$63:$C$76, "$ Budgeted")</f>
        <v>1.29049549847743</v>
      </c>
      <c r="AM199" s="16" t="n">
        <f aca="false">SUMIFS(AM$63:AM$76, $A$63:$A$76,$A199, $C$63:$C$76, "$ Actual")/SUMIFS(AM$63:AM$76, $A$63:$A$76,$A199, $C$63:$C$76, "$ Budgeted")</f>
        <v>0.214903926185626</v>
      </c>
      <c r="AN199" s="16" t="n">
        <f aca="false">SUMIFS(AN$63:AN$76, $A$63:$A$76,$A199, $C$63:$C$76, "$ Actual")/SUMIFS(AN$63:AN$76, $A$63:$A$76,$A199, $C$63:$C$76, "$ Budgeted")</f>
        <v>0.830647602073201</v>
      </c>
      <c r="AO199" s="16" t="n">
        <f aca="false">SUMIFS(AO$63:AO$76, $A$63:$A$76,$A199, $C$63:$C$76, "$ Actual")/SUMIFS(AO$63:AO$76, $A$63:$A$76,$A199, $C$63:$C$76, "$ Budgeted")</f>
        <v>0.873023772479907</v>
      </c>
      <c r="AP199" s="16" t="n">
        <f aca="false">SUMIFS(AP$63:AP$76, $A$63:$A$76,$A199, $C$63:$C$76, "$ Actual")/SUMIFS(AP$63:AP$76, $A$63:$A$76,$A199, $C$63:$C$76, "$ Budgeted")</f>
        <v>1.16683301173287</v>
      </c>
      <c r="AQ199" s="16" t="n">
        <f aca="false">SUMIFS(AQ$63:AQ$76, $A$63:$A$76,$A199, $C$63:$C$76, "$ Actual")/SUMIFS(AQ$63:AQ$76, $A$63:$A$76,$A199, $C$63:$C$76, "$ Budgeted")</f>
        <v>1.07144977829188</v>
      </c>
      <c r="AR199" s="16" t="n">
        <f aca="false">SUMIFS(AR$63:AR$76, $A$63:$A$76,$A199, $C$63:$C$76, "$ Actual")/SUMIFS(AR$63:AR$76, $A$63:$A$76,$A199, $C$63:$C$76, "$ Budgeted")</f>
        <v>0.741003400305407</v>
      </c>
      <c r="AS199" s="16" t="e">
        <f aca="false">SUMIFS(AS$63:AS$76, $A$63:$A$76,$A199, $C$63:$C$76, "$ Actual")/SUMIFS(AS$63:AS$76, $A$63:$A$76,$A199, $C$63:$C$76, "$ Budgeted")</f>
        <v>#DIV/0!</v>
      </c>
      <c r="AT199" s="16" t="e">
        <f aca="false">SUMIFS(AT$63:AT$76, $A$63:$A$76,$A199, $C$63:$C$76, "$ Actual")/SUMIFS(AT$63:AT$76, $A$63:$A$76,$A199, $C$63:$C$76, "$ Budgeted")</f>
        <v>#DIV/0!</v>
      </c>
      <c r="AU199" s="16" t="e">
        <f aca="false">SUMIFS(AU$63:AU$76, $A$63:$A$76,$A199, $C$63:$C$76, "$ Actual")/SUMIFS(AU$63:AU$76, $A$63:$A$76,$A199, $C$63:$C$76, "$ Budgeted")</f>
        <v>#DIV/0!</v>
      </c>
      <c r="AV199" s="16"/>
      <c r="AW199" s="16"/>
      <c r="AX199" s="16"/>
      <c r="AY199" s="16" t="n">
        <f aca="false">SUMIFS(AY$63:AY$76, $A$63:$A$76,$A199, $C$63:$C$76, "$ Actual")/SUMIFS(AY$63:AY$76, $A$63:$A$76,$A199, $C$63:$C$76, "$ Budgeted")</f>
        <v>0.877689211652701</v>
      </c>
      <c r="AZ199" s="16" t="n">
        <f aca="false">SUMIFS(AZ$63:AZ$76, $A$63:$A$76,$A199, $C$63:$C$76, "$ Actual")/SUMIFS(AZ$63:AZ$76, $A$63:$A$76,$A199, $C$63:$C$76, "$ Budgeted")</f>
        <v>0.818052900262065</v>
      </c>
      <c r="BA199" s="16" t="n">
        <f aca="false">SUMIFS(BA$63:BA$76, $A$63:$A$76,$A199, $C$63:$C$76, "$ Actual")/SUMIFS(BA$63:BA$76, $A$63:$A$76,$A199, $C$63:$C$76, "$ Budgeted")</f>
        <v>1.21486681644172</v>
      </c>
      <c r="BB199" s="16" t="n">
        <f aca="false">SUMIFS(BB$63:BB$76, $A$63:$A$76,$A199, $C$63:$C$76, "$ Actual")/SUMIFS(BB$63:BB$76, $A$63:$A$76,$A199, $C$63:$C$76, "$ Budgeted")</f>
        <v>1.26027951277748</v>
      </c>
      <c r="BC199" s="16" t="n">
        <f aca="false">SUMIFS(BC$63:BC$76, $A$63:$A$76,$A199, $C$63:$C$76, "$ Actual")/SUMIFS(BC$63:BC$76, $A$63:$A$76,$A199, $C$63:$C$76, "$ Budgeted")</f>
        <v>1.07659211637901</v>
      </c>
      <c r="BD199" s="16"/>
      <c r="BE199" s="16" t="n">
        <f aca="false">SUMIFS(BE$63:BE$76, $A$63:$A$76,$A199, $C$63:$C$76, "$ Actual")/SUMIFS(BE$63:BE$76, $A$63:$A$76,$A199, $C$63:$C$76, "$ Budgeted")</f>
        <v>0.976521533251439</v>
      </c>
    </row>
    <row r="200" customFormat="false" ht="12.75" hidden="false" customHeight="true" outlineLevel="0" collapsed="false">
      <c r="A200" s="1" t="s">
        <v>72</v>
      </c>
      <c r="B200" s="1" t="n">
        <v>2023</v>
      </c>
      <c r="C200" s="1" t="s">
        <v>80</v>
      </c>
      <c r="D200" s="16" t="n">
        <f aca="false">SUMIFS(D$63:D$76, $A$63:$A$76,$A200, $C$63:$C$76, "$ Actual")/SUMIFS(D$63:D$76, $A$63:$A$76,$A200, $C$63:$C$76, "$ Budgeted")</f>
        <v>0.98880303030303</v>
      </c>
      <c r="E200" s="16" t="n">
        <f aca="false">SUMIFS(E$63:E$76, $A$63:$A$76,$A200, $C$63:$C$76, "$ Actual")/SUMIFS(E$63:E$76, $A$63:$A$76,$A200, $C$63:$C$76, "$ Budgeted")</f>
        <v>0.893349849545348</v>
      </c>
      <c r="F200" s="16" t="n">
        <f aca="false">SUMIFS(F$63:F$76, $A$63:$A$76,$A200, $C$63:$C$76, "$ Actual")/SUMIFS(F$63:F$76, $A$63:$A$76,$A200, $C$63:$C$76, "$ Budgeted")</f>
        <v>0.614285991626167</v>
      </c>
      <c r="G200" s="16" t="n">
        <f aca="false">SUMIFS(G$63:G$76, $A$63:$A$76,$A200, $C$63:$C$76, "$ Actual")/SUMIFS(G$63:G$76, $A$63:$A$76,$A200, $C$63:$C$76, "$ Budgeted")</f>
        <v>0.930071282016102</v>
      </c>
      <c r="H200" s="16" t="n">
        <f aca="false">SUMIFS(H$63:H$76, $A$63:$A$76,$A200, $C$63:$C$76, "$ Actual")/SUMIFS(H$63:H$76, $A$63:$A$76,$A200, $C$63:$C$76, "$ Budgeted")</f>
        <v>0.988778556654718</v>
      </c>
      <c r="I200" s="16" t="n">
        <f aca="false">SUMIFS(I$63:I$76, $A$63:$A$76,$A200, $C$63:$C$76, "$ Actual")/SUMIFS(I$63:I$76, $A$63:$A$76,$A200, $C$63:$C$76, "$ Budgeted")</f>
        <v>0.241394766987077</v>
      </c>
      <c r="J200" s="16" t="n">
        <f aca="false">SUMIFS(J$63:J$76, $A$63:$A$76,$A200, $C$63:$C$76, "$ Actual")/SUMIFS(J$63:J$76, $A$63:$A$76,$A200, $C$63:$C$76, "$ Budgeted")</f>
        <v>0.224909495803118</v>
      </c>
      <c r="K200" s="16" t="e">
        <f aca="false">SUMIFS(K$63:K$76, $A$63:$A$76,$A200, $C$63:$C$76, "$ Actual")/SUMIFS(K$63:K$76, $A$63:$A$76,$A200, $C$63:$C$76, "$ Budgeted")</f>
        <v>#DIV/0!</v>
      </c>
      <c r="L200" s="16" t="e">
        <f aca="false">SUMIFS(L$63:L$76, $A$63:$A$76,$A200, $C$63:$C$76, "$ Actual")/SUMIFS(L$63:L$76, $A$63:$A$76,$A200, $C$63:$C$76, "$ Budgeted")</f>
        <v>#DIV/0!</v>
      </c>
      <c r="M200" s="16" t="e">
        <f aca="false">SUMIFS(M$63:M$76, $A$63:$A$76,$A200, $C$63:$C$76, "$ Actual")/SUMIFS(M$63:M$76, $A$63:$A$76,$A200, $C$63:$C$76, "$ Budgeted")</f>
        <v>#DIV/0!</v>
      </c>
      <c r="N200" s="16"/>
      <c r="O200" s="16" t="n">
        <f aca="false">SUMIFS(O$63:O$76, $A$63:$A$76,$A200, $C$63:$C$76, "$ Actual")/SUMIFS(O$63:O$76, $A$63:$A$76,$A200, $C$63:$C$76, "$ Budgeted")</f>
        <v>0.666487181102843</v>
      </c>
      <c r="P200" s="16" t="n">
        <f aca="false">SUMIFS(P$63:P$76, $A$63:$A$76,$A200, $C$63:$C$76, "$ Actual")/SUMIFS(P$63:P$76, $A$63:$A$76,$A200, $C$63:$C$76, "$ Budgeted")</f>
        <v>0.987099663485249</v>
      </c>
      <c r="Q200" s="16" t="n">
        <f aca="false">SUMIFS(Q$63:Q$76, $A$63:$A$76,$A200, $C$63:$C$76, "$ Actual")/SUMIFS(Q$63:Q$76, $A$63:$A$76,$A200, $C$63:$C$76, "$ Budgeted")</f>
        <v>0.982220754792492</v>
      </c>
      <c r="R200" s="16" t="n">
        <f aca="false">SUMIFS(R$63:R$76, $A$63:$A$76,$A200, $C$63:$C$76, "$ Actual")/SUMIFS(R$63:R$76, $A$63:$A$76,$A200, $C$63:$C$76, "$ Budgeted")</f>
        <v>0.744809163825734</v>
      </c>
      <c r="S200" s="16" t="n">
        <f aca="false">SUMIFS(S$63:S$76, $A$63:$A$76,$A200, $C$63:$C$76, "$ Actual")/SUMIFS(S$63:S$76, $A$63:$A$76,$A200, $C$63:$C$76, "$ Budgeted")</f>
        <v>0.627794402284253</v>
      </c>
      <c r="T200" s="16" t="e">
        <f aca="false">SUMIFS(T$63:T$76, $A$63:$A$76,$A200, $C$63:$C$76, "$ Actual")/SUMIFS(T$63:T$76, $A$63:$A$76,$A200, $C$63:$C$76, "$ Budgeted")</f>
        <v>#DIV/0!</v>
      </c>
      <c r="U200" s="16" t="e">
        <f aca="false">SUMIFS(U$63:U$76, $A$63:$A$76,$A200, $C$63:$C$76, "$ Actual")/SUMIFS(U$63:U$76, $A$63:$A$76,$A200, $C$63:$C$76, "$ Budgeted")</f>
        <v>#DIV/0!</v>
      </c>
      <c r="V200" s="16" t="e">
        <f aca="false">SUMIFS(V$63:V$76, $A$63:$A$76,$A200, $C$63:$C$76, "$ Actual")/SUMIFS(V$63:V$76, $A$63:$A$76,$A200, $C$63:$C$76, "$ Budgeted")</f>
        <v>#DIV/0!</v>
      </c>
      <c r="W200" s="16" t="e">
        <f aca="false">SUMIFS(W$63:W$76, $A$63:$A$76,$A200, $C$63:$C$76, "$ Actual")/SUMIFS(W$63:W$76, $A$63:$A$76,$A200, $C$63:$C$76, "$ Budgeted")</f>
        <v>#DIV/0!</v>
      </c>
      <c r="X200" s="16" t="e">
        <f aca="false">SUMIFS(X$63:X$76, $A$63:$A$76,$A200, $C$63:$C$76, "$ Actual")/SUMIFS(X$63:X$76, $A$63:$A$76,$A200, $C$63:$C$76, "$ Budgeted")</f>
        <v>#DIV/0!</v>
      </c>
      <c r="Y200" s="16"/>
      <c r="Z200" s="16" t="e">
        <f aca="false">SUMIFS(Z$63:Z$76, $A$63:$A$76,$A200, $C$63:$C$76, "Actual")/SUMIFS(Z$63:Z$76, $A$63:$A$76,$A200, $C$63:$C$76, "Budgeted")</f>
        <v>#DIV/0!</v>
      </c>
      <c r="AA200" s="16" t="n">
        <f aca="false">SUMIFS(AA$63:AA$76, $A$63:$A$76,$A200, $C$63:$C$76, "$ Actual")/SUMIFS(AA$63:AA$76, $A$63:$A$76,$A200, $C$63:$C$76, "$ Budgeted")</f>
        <v>1.18082581869957</v>
      </c>
      <c r="AB200" s="16" t="e">
        <f aca="false">SUMIFS(AB$63:AB$76, $A$63:$A$76,$A200, $C$63:$C$76, "$ Actual")/SUMIFS(AB$63:AB$76, $A$63:$A$76,$A200, $C$63:$C$76, "$ Budgeted")</f>
        <v>#DIV/0!</v>
      </c>
      <c r="AC200" s="16" t="e">
        <f aca="false">SUMIFS(AC$63:AC$76, $A$63:$A$76,$A200, $C$63:$C$76, "Actual")/SUMIFS(AC$63:AC$76, $A$63:$A$76,$A200, $C$63:$C$76, "Budgeted")</f>
        <v>#DIV/0!</v>
      </c>
      <c r="AD200" s="16" t="e">
        <f aca="false">SUMIFS(AD$63:AD$76, $A$63:$A$76,$A200, $C$63:$C$76, "$ Actual")/SUMIFS(AD$63:AD$76, $A$63:$A$76,$A200, $C$63:$C$76, "$ Budgeted")</f>
        <v>#DIV/0!</v>
      </c>
      <c r="AE200" s="16" t="n">
        <f aca="false">SUMIFS(AE$63:AE$76, $A$63:$A$76,$A200, $C$63:$C$76, "$ Actual")/SUMIFS(AE$63:AE$76, $A$63:$A$76,$A200, $C$63:$C$76, "$ Budgeted")</f>
        <v>0.958666943644835</v>
      </c>
      <c r="AF200" s="16" t="n">
        <f aca="false">SUMIFS(AF$63:AF$76, $A$63:$A$76,$A200, $C$63:$C$76, "$ Actual")/SUMIFS(AF$63:AF$76, $A$63:$A$76,$A200, $C$63:$C$76, "$ Budgeted")</f>
        <v>0.806687746677634</v>
      </c>
      <c r="AG200" s="16" t="n">
        <f aca="false">SUMIFS(AG$63:AG$76, $A$63:$A$76,$A200, $C$63:$C$76, "$ Actual")/SUMIFS(AG$63:AG$76, $A$63:$A$76,$A200, $C$63:$C$76, "$ Budgeted")</f>
        <v>0.312200050517808</v>
      </c>
      <c r="AH200" s="16" t="n">
        <f aca="false">SUMIFS(AH$63:AH$76, $A$63:$A$76,$A200, $C$63:$C$76, "$ Actual")/SUMIFS(AH$63:AH$76, $A$63:$A$76,$A200, $C$63:$C$76, "$ Budgeted")</f>
        <v>0.253459576138148</v>
      </c>
      <c r="AI200" s="16" t="n">
        <f aca="false">SUMIFS(AI$63:AI$76, $A$63:$A$76,$A200, $C$63:$C$76, "$ Actual")/SUMIFS(AI$63:AI$76, $A$63:$A$76,$A200, $C$63:$C$76, "$ Budgeted")</f>
        <v>0.421520382171853</v>
      </c>
      <c r="AJ200" s="16" t="e">
        <f aca="false">SUMIFS(AJ$63:AJ$76, $A$63:$A$76,$A200, $C$63:$C$76, "$ Actual")/SUMIFS(AJ$63:AJ$76, $A$63:$A$76,$A200, $C$63:$C$76, "$ Budgeted")</f>
        <v>#DIV/0!</v>
      </c>
      <c r="AK200" s="16"/>
      <c r="AL200" s="16" t="n">
        <f aca="false">SUMIFS(AL$63:AL$76, $A$63:$A$76,$A200, $C$63:$C$76, "$ Actual")/SUMIFS(AL$63:AL$76, $A$63:$A$76,$A200, $C$63:$C$76, "$ Budgeted")</f>
        <v>0.614650009536525</v>
      </c>
      <c r="AM200" s="16" t="n">
        <f aca="false">SUMIFS(AM$63:AM$76, $A$63:$A$76,$A200, $C$63:$C$76, "$ Actual")/SUMIFS(AM$63:AM$76, $A$63:$A$76,$A200, $C$63:$C$76, "$ Budgeted")</f>
        <v>0.989275209808748</v>
      </c>
      <c r="AN200" s="16" t="n">
        <f aca="false">SUMIFS(AN$63:AN$76, $A$63:$A$76,$A200, $C$63:$C$76, "$ Actual")/SUMIFS(AN$63:AN$76, $A$63:$A$76,$A200, $C$63:$C$76, "$ Budgeted")</f>
        <v>0.591435284188436</v>
      </c>
      <c r="AO200" s="16" t="n">
        <f aca="false">SUMIFS(AO$63:AO$76, $A$63:$A$76,$A200, $C$63:$C$76, "$ Actual")/SUMIFS(AO$63:AO$76, $A$63:$A$76,$A200, $C$63:$C$76, "$ Budgeted")</f>
        <v>0.675413488028248</v>
      </c>
      <c r="AP200" s="16" t="n">
        <f aca="false">SUMIFS(AP$63:AP$76, $A$63:$A$76,$A200, $C$63:$C$76, "$ Actual")/SUMIFS(AP$63:AP$76, $A$63:$A$76,$A200, $C$63:$C$76, "$ Budgeted")</f>
        <v>0.828515549076774</v>
      </c>
      <c r="AQ200" s="16" t="n">
        <f aca="false">SUMIFS(AQ$63:AQ$76, $A$63:$A$76,$A200, $C$63:$C$76, "$ Actual")/SUMIFS(AQ$63:AQ$76, $A$63:$A$76,$A200, $C$63:$C$76, "$ Budgeted")</f>
        <v>0.972107229590884</v>
      </c>
      <c r="AR200" s="16" t="n">
        <f aca="false">SUMIFS(AR$63:AR$76, $A$63:$A$76,$A200, $C$63:$C$76, "$ Actual")/SUMIFS(AR$63:AR$76, $A$63:$A$76,$A200, $C$63:$C$76, "$ Budgeted")</f>
        <v>0.255374152239731</v>
      </c>
      <c r="AS200" s="16" t="e">
        <f aca="false">SUMIFS(AS$63:AS$76, $A$63:$A$76,$A200, $C$63:$C$76, "$ Actual")/SUMIFS(AS$63:AS$76, $A$63:$A$76,$A200, $C$63:$C$76, "$ Budgeted")</f>
        <v>#DIV/0!</v>
      </c>
      <c r="AT200" s="16" t="e">
        <f aca="false">SUMIFS(AT$63:AT$76, $A$63:$A$76,$A200, $C$63:$C$76, "$ Actual")/SUMIFS(AT$63:AT$76, $A$63:$A$76,$A200, $C$63:$C$76, "$ Budgeted")</f>
        <v>#DIV/0!</v>
      </c>
      <c r="AU200" s="16" t="e">
        <f aca="false">SUMIFS(AU$63:AU$76, $A$63:$A$76,$A200, $C$63:$C$76, "$ Actual")/SUMIFS(AU$63:AU$76, $A$63:$A$76,$A200, $C$63:$C$76, "$ Budgeted")</f>
        <v>#DIV/0!</v>
      </c>
      <c r="AV200" s="16"/>
      <c r="AW200" s="16"/>
      <c r="AX200" s="16"/>
      <c r="AY200" s="16" t="n">
        <f aca="false">SUMIFS(AY$63:AY$76, $A$63:$A$76,$A200, $C$63:$C$76, "$ Actual")/SUMIFS(AY$63:AY$76, $A$63:$A$76,$A200, $C$63:$C$76, "$ Budgeted")</f>
        <v>0.708799147441969</v>
      </c>
      <c r="AZ200" s="16" t="n">
        <f aca="false">SUMIFS(AZ$63:AZ$76, $A$63:$A$76,$A200, $C$63:$C$76, "$ Actual")/SUMIFS(AZ$63:AZ$76, $A$63:$A$76,$A200, $C$63:$C$76, "$ Budgeted")</f>
        <v>0.641521917578812</v>
      </c>
      <c r="BA200" s="16" t="n">
        <f aca="false">SUMIFS(BA$63:BA$76, $A$63:$A$76,$A200, $C$63:$C$76, "$ Actual")/SUMIFS(BA$63:BA$76, $A$63:$A$76,$A200, $C$63:$C$76, "$ Budgeted")</f>
        <v>0.797284399160022</v>
      </c>
      <c r="BB200" s="16" t="n">
        <f aca="false">SUMIFS(BB$63:BB$76, $A$63:$A$76,$A200, $C$63:$C$76, "$ Actual")/SUMIFS(BB$63:BB$76, $A$63:$A$76,$A200, $C$63:$C$76, "$ Budgeted")</f>
        <v>1.18082581869957</v>
      </c>
      <c r="BC200" s="16" t="n">
        <f aca="false">SUMIFS(BC$63:BC$76, $A$63:$A$76,$A200, $C$63:$C$76, "$ Actual")/SUMIFS(BC$63:BC$76, $A$63:$A$76,$A200, $C$63:$C$76, "$ Budgeted")</f>
        <v>0.416244269203176</v>
      </c>
      <c r="BD200" s="16"/>
      <c r="BE200" s="16" t="n">
        <f aca="false">SUMIFS(BE$63:BE$76, $A$63:$A$76,$A200, $C$63:$C$76, "$ Actual")/SUMIFS(BE$63:BE$76, $A$63:$A$76,$A200, $C$63:$C$76, "$ Budgeted")</f>
        <v>0.678557549767297</v>
      </c>
    </row>
    <row r="201" customFormat="false" ht="12.75" hidden="false" customHeight="true" outlineLevel="0" collapsed="false">
      <c r="A201" s="1" t="s">
        <v>57</v>
      </c>
      <c r="B201" s="1" t="n">
        <v>2023</v>
      </c>
      <c r="C201" s="1" t="s">
        <v>80</v>
      </c>
      <c r="D201" s="16" t="n">
        <f aca="false">SUMIFS(D$63:D$76, $A$63:$A$76,$A201, $C$63:$C$76, "$ Actual")/SUMIFS(D$63:D$76, $A$63:$A$76,$A201, $C$63:$C$76, "$ Budgeted")</f>
        <v>0.970880840599151</v>
      </c>
      <c r="E201" s="16" t="e">
        <f aca="false">SUMIFS(E$63:E$76, $A$63:$A$76,$A201, $C$63:$C$76, "$ Actual")/SUMIFS(E$63:E$76, $A$63:$A$76,$A201, $C$63:$C$76, "$ Budgeted")</f>
        <v>#DIV/0!</v>
      </c>
      <c r="F201" s="16" t="e">
        <f aca="false">SUMIFS(F$63:F$76, $A$63:$A$76,$A201, $C$63:$C$76, "$ Actual")/SUMIFS(F$63:F$76, $A$63:$A$76,$A201, $C$63:$C$76, "$ Budgeted")</f>
        <v>#DIV/0!</v>
      </c>
      <c r="G201" s="16" t="n">
        <f aca="false">SUMIFS(G$63:G$76, $A$63:$A$76,$A201, $C$63:$C$76, "$ Actual")/SUMIFS(G$63:G$76, $A$63:$A$76,$A201, $C$63:$C$76, "$ Budgeted")</f>
        <v>0.162992424242424</v>
      </c>
      <c r="H201" s="16" t="n">
        <f aca="false">SUMIFS(H$63:H$76, $A$63:$A$76,$A201, $C$63:$C$76, "$ Actual")/SUMIFS(H$63:H$76, $A$63:$A$76,$A201, $C$63:$C$76, "$ Budgeted")</f>
        <v>1.04193181818182</v>
      </c>
      <c r="I201" s="16" t="e">
        <f aca="false">SUMIFS(I$63:I$76, $A$63:$A$76,$A201, $C$63:$C$76, "$ Actual")/SUMIFS(I$63:I$76, $A$63:$A$76,$A201, $C$63:$C$76, "$ Budgeted")</f>
        <v>#DIV/0!</v>
      </c>
      <c r="J201" s="16" t="e">
        <f aca="false">SUMIFS(J$63:J$76, $A$63:$A$76,$A201, $C$63:$C$76, "$ Actual")/SUMIFS(J$63:J$76, $A$63:$A$76,$A201, $C$63:$C$76, "$ Budgeted")</f>
        <v>#DIV/0!</v>
      </c>
      <c r="K201" s="16" t="e">
        <f aca="false">SUMIFS(K$63:K$76, $A$63:$A$76,$A201, $C$63:$C$76, "$ Actual")/SUMIFS(K$63:K$76, $A$63:$A$76,$A201, $C$63:$C$76, "$ Budgeted")</f>
        <v>#DIV/0!</v>
      </c>
      <c r="L201" s="16" t="e">
        <f aca="false">SUMIFS(L$63:L$76, $A$63:$A$76,$A201, $C$63:$C$76, "$ Actual")/SUMIFS(L$63:L$76, $A$63:$A$76,$A201, $C$63:$C$76, "$ Budgeted")</f>
        <v>#DIV/0!</v>
      </c>
      <c r="M201" s="16" t="e">
        <f aca="false">SUMIFS(M$63:M$76, $A$63:$A$76,$A201, $C$63:$C$76, "$ Actual")/SUMIFS(M$63:M$76, $A$63:$A$76,$A201, $C$63:$C$76, "$ Budgeted")</f>
        <v>#DIV/0!</v>
      </c>
      <c r="N201" s="16"/>
      <c r="O201" s="16" t="n">
        <f aca="false">SUMIFS(O$63:O$76, $A$63:$A$76,$A201, $C$63:$C$76, "$ Actual")/SUMIFS(O$63:O$76, $A$63:$A$76,$A201, $C$63:$C$76, "$ Budgeted")</f>
        <v>0.7242875</v>
      </c>
      <c r="P201" s="16" t="e">
        <f aca="false">SUMIFS(P$63:P$76, $A$63:$A$76,$A201, $C$63:$C$76, "$ Actual")/SUMIFS(P$63:P$76, $A$63:$A$76,$A201, $C$63:$C$76, "$ Budgeted")</f>
        <v>#DIV/0!</v>
      </c>
      <c r="Q201" s="16" t="e">
        <f aca="false">SUMIFS(Q$63:Q$76, $A$63:$A$76,$A201, $C$63:$C$76, "$ Actual")/SUMIFS(Q$63:Q$76, $A$63:$A$76,$A201, $C$63:$C$76, "$ Budgeted")</f>
        <v>#DIV/0!</v>
      </c>
      <c r="R201" s="16" t="e">
        <f aca="false">SUMIFS(R$63:R$76, $A$63:$A$76,$A201, $C$63:$C$76, "$ Actual")/SUMIFS(R$63:R$76, $A$63:$A$76,$A201, $C$63:$C$76, "$ Budgeted")</f>
        <v>#DIV/0!</v>
      </c>
      <c r="S201" s="16" t="n">
        <f aca="false">SUMIFS(S$63:S$76, $A$63:$A$76,$A201, $C$63:$C$76, "$ Actual")/SUMIFS(S$63:S$76, $A$63:$A$76,$A201, $C$63:$C$76, "$ Budgeted")</f>
        <v>1.14073643410853</v>
      </c>
      <c r="T201" s="16" t="e">
        <f aca="false">SUMIFS(T$63:T$76, $A$63:$A$76,$A201, $C$63:$C$76, "$ Actual")/SUMIFS(T$63:T$76, $A$63:$A$76,$A201, $C$63:$C$76, "$ Budgeted")</f>
        <v>#DIV/0!</v>
      </c>
      <c r="U201" s="16" t="e">
        <f aca="false">SUMIFS(U$63:U$76, $A$63:$A$76,$A201, $C$63:$C$76, "$ Actual")/SUMIFS(U$63:U$76, $A$63:$A$76,$A201, $C$63:$C$76, "$ Budgeted")</f>
        <v>#DIV/0!</v>
      </c>
      <c r="V201" s="16" t="e">
        <f aca="false">SUMIFS(V$63:V$76, $A$63:$A$76,$A201, $C$63:$C$76, "$ Actual")/SUMIFS(V$63:V$76, $A$63:$A$76,$A201, $C$63:$C$76, "$ Budgeted")</f>
        <v>#DIV/0!</v>
      </c>
      <c r="W201" s="16" t="e">
        <f aca="false">SUMIFS(W$63:W$76, $A$63:$A$76,$A201, $C$63:$C$76, "$ Actual")/SUMIFS(W$63:W$76, $A$63:$A$76,$A201, $C$63:$C$76, "$ Budgeted")</f>
        <v>#DIV/0!</v>
      </c>
      <c r="X201" s="16" t="e">
        <f aca="false">SUMIFS(X$63:X$76, $A$63:$A$76,$A201, $C$63:$C$76, "$ Actual")/SUMIFS(X$63:X$76, $A$63:$A$76,$A201, $C$63:$C$76, "$ Budgeted")</f>
        <v>#DIV/0!</v>
      </c>
      <c r="Y201" s="16"/>
      <c r="Z201" s="16" t="e">
        <f aca="false">SUMIFS(Z$63:Z$76, $A$63:$A$76,$A201, $C$63:$C$76, "Actual")/SUMIFS(Z$63:Z$76, $A$63:$A$76,$A201, $C$63:$C$76, "Budgeted")</f>
        <v>#DIV/0!</v>
      </c>
      <c r="AA201" s="16" t="e">
        <f aca="false">SUMIFS(AA$63:AA$76, $A$63:$A$76,$A201, $C$63:$C$76, "$ Actual")/SUMIFS(AA$63:AA$76, $A$63:$A$76,$A201, $C$63:$C$76, "$ Budgeted")</f>
        <v>#DIV/0!</v>
      </c>
      <c r="AB201" s="16" t="n">
        <f aca="false">SUMIFS(AB$63:AB$76, $A$63:$A$76,$A201, $C$63:$C$76, "$ Actual")/SUMIFS(AB$63:AB$76, $A$63:$A$76,$A201, $C$63:$C$76, "$ Budgeted")</f>
        <v>1.05943658057514</v>
      </c>
      <c r="AC201" s="16" t="e">
        <f aca="false">SUMIFS(AC$63:AC$76, $A$63:$A$76,$A201, $C$63:$C$76, "Actual")/SUMIFS(AC$63:AC$76, $A$63:$A$76,$A201, $C$63:$C$76, "Budgeted")</f>
        <v>#DIV/0!</v>
      </c>
      <c r="AD201" s="16" t="n">
        <f aca="false">SUMIFS(AD$63:AD$76, $A$63:$A$76,$A201, $C$63:$C$76, "$ Actual")/SUMIFS(AD$63:AD$76, $A$63:$A$76,$A201, $C$63:$C$76, "$ Budgeted")</f>
        <v>0.693969129612694</v>
      </c>
      <c r="AE201" s="16" t="n">
        <f aca="false">SUMIFS(AE$63:AE$76, $A$63:$A$76,$A201, $C$63:$C$76, "$ Actual")/SUMIFS(AE$63:AE$76, $A$63:$A$76,$A201, $C$63:$C$76, "$ Budgeted")</f>
        <v>0.934525332323656</v>
      </c>
      <c r="AF201" s="16" t="n">
        <f aca="false">SUMIFS(AF$63:AF$76, $A$63:$A$76,$A201, $C$63:$C$76, "$ Actual")/SUMIFS(AF$63:AF$76, $A$63:$A$76,$A201, $C$63:$C$76, "$ Budgeted")</f>
        <v>0.871507717732158</v>
      </c>
      <c r="AG201" s="16" t="e">
        <f aca="false">SUMIFS(AG$63:AG$76, $A$63:$A$76,$A201, $C$63:$C$76, "$ Actual")/SUMIFS(AG$63:AG$76, $A$63:$A$76,$A201, $C$63:$C$76, "$ Budgeted")</f>
        <v>#DIV/0!</v>
      </c>
      <c r="AH201" s="16" t="e">
        <f aca="false">SUMIFS(AH$63:AH$76, $A$63:$A$76,$A201, $C$63:$C$76, "$ Actual")/SUMIFS(AH$63:AH$76, $A$63:$A$76,$A201, $C$63:$C$76, "$ Budgeted")</f>
        <v>#DIV/0!</v>
      </c>
      <c r="AI201" s="16" t="e">
        <f aca="false">SUMIFS(AI$63:AI$76, $A$63:$A$76,$A201, $C$63:$C$76, "$ Actual")/SUMIFS(AI$63:AI$76, $A$63:$A$76,$A201, $C$63:$C$76, "$ Budgeted")</f>
        <v>#DIV/0!</v>
      </c>
      <c r="AJ201" s="16" t="e">
        <f aca="false">SUMIFS(AJ$63:AJ$76, $A$63:$A$76,$A201, $C$63:$C$76, "$ Actual")/SUMIFS(AJ$63:AJ$76, $A$63:$A$76,$A201, $C$63:$C$76, "$ Budgeted")</f>
        <v>#DIV/0!</v>
      </c>
      <c r="AK201" s="16"/>
      <c r="AL201" s="16" t="n">
        <f aca="false">SUMIFS(AL$63:AL$76, $A$63:$A$76,$A201, $C$63:$C$76, "$ Actual")/SUMIFS(AL$63:AL$76, $A$63:$A$76,$A201, $C$63:$C$76, "$ Budgeted")</f>
        <v>1.75550923168553</v>
      </c>
      <c r="AM201" s="16" t="n">
        <f aca="false">SUMIFS(AM$63:AM$76, $A$63:$A$76,$A201, $C$63:$C$76, "$ Actual")/SUMIFS(AM$63:AM$76, $A$63:$A$76,$A201, $C$63:$C$76, "$ Budgeted")</f>
        <v>0.47472584789146</v>
      </c>
      <c r="AN201" s="16" t="e">
        <f aca="false">SUMIFS(AN$63:AN$76, $A$63:$A$76,$A201, $C$63:$C$76, "$ Actual")/SUMIFS(AN$63:AN$76, $A$63:$A$76,$A201, $C$63:$C$76, "$ Budgeted")</f>
        <v>#DIV/0!</v>
      </c>
      <c r="AO201" s="16" t="e">
        <f aca="false">SUMIFS(AO$63:AO$76, $A$63:$A$76,$A201, $C$63:$C$76, "$ Actual")/SUMIFS(AO$63:AO$76, $A$63:$A$76,$A201, $C$63:$C$76, "$ Budgeted")</f>
        <v>#DIV/0!</v>
      </c>
      <c r="AP201" s="16" t="e">
        <f aca="false">SUMIFS(AP$63:AP$76, $A$63:$A$76,$A201, $C$63:$C$76, "$ Actual")/SUMIFS(AP$63:AP$76, $A$63:$A$76,$A201, $C$63:$C$76, "$ Budgeted")</f>
        <v>#DIV/0!</v>
      </c>
      <c r="AQ201" s="16" t="n">
        <f aca="false">SUMIFS(AQ$63:AQ$76, $A$63:$A$76,$A201, $C$63:$C$76, "$ Actual")/SUMIFS(AQ$63:AQ$76, $A$63:$A$76,$A201, $C$63:$C$76, "$ Budgeted")</f>
        <v>0.724393115942029</v>
      </c>
      <c r="AR201" s="16" t="e">
        <f aca="false">SUMIFS(AR$63:AR$76, $A$63:$A$76,$A201, $C$63:$C$76, "$ Actual")/SUMIFS(AR$63:AR$76, $A$63:$A$76,$A201, $C$63:$C$76, "$ Budgeted")</f>
        <v>#DIV/0!</v>
      </c>
      <c r="AS201" s="16" t="e">
        <f aca="false">SUMIFS(AS$63:AS$76, $A$63:$A$76,$A201, $C$63:$C$76, "$ Actual")/SUMIFS(AS$63:AS$76, $A$63:$A$76,$A201, $C$63:$C$76, "$ Budgeted")</f>
        <v>#DIV/0!</v>
      </c>
      <c r="AT201" s="16" t="e">
        <f aca="false">SUMIFS(AT$63:AT$76, $A$63:$A$76,$A201, $C$63:$C$76, "$ Actual")/SUMIFS(AT$63:AT$76, $A$63:$A$76,$A201, $C$63:$C$76, "$ Budgeted")</f>
        <v>#DIV/0!</v>
      </c>
      <c r="AU201" s="16" t="e">
        <f aca="false">SUMIFS(AU$63:AU$76, $A$63:$A$76,$A201, $C$63:$C$76, "$ Actual")/SUMIFS(AU$63:AU$76, $A$63:$A$76,$A201, $C$63:$C$76, "$ Budgeted")</f>
        <v>#DIV/0!</v>
      </c>
      <c r="AV201" s="16"/>
      <c r="AW201" s="16"/>
      <c r="AX201" s="16"/>
      <c r="AY201" s="16" t="n">
        <f aca="false">SUMIFS(AY$63:AY$76, $A$63:$A$76,$A201, $C$63:$C$76, "$ Actual")/SUMIFS(AY$63:AY$76, $A$63:$A$76,$A201, $C$63:$C$76, "$ Budgeted")</f>
        <v>0.586807649434424</v>
      </c>
      <c r="AZ201" s="16" t="n">
        <f aca="false">SUMIFS(AZ$63:AZ$76, $A$63:$A$76,$A201, $C$63:$C$76, "$ Actual")/SUMIFS(AZ$63:AZ$76, $A$63:$A$76,$A201, $C$63:$C$76, "$ Budgeted")</f>
        <v>0.873020521832064</v>
      </c>
      <c r="BA201" s="16" t="n">
        <f aca="false">SUMIFS(BA$63:BA$76, $A$63:$A$76,$A201, $C$63:$C$76, "$ Actual")/SUMIFS(BA$63:BA$76, $A$63:$A$76,$A201, $C$63:$C$76, "$ Budgeted")</f>
        <v>0.825841209829868</v>
      </c>
      <c r="BB201" s="16" t="n">
        <f aca="false">SUMIFS(BB$63:BB$76, $A$63:$A$76,$A201, $C$63:$C$76, "$ Actual")/SUMIFS(BB$63:BB$76, $A$63:$A$76,$A201, $C$63:$C$76, "$ Budgeted")</f>
        <v>1.05943658057514</v>
      </c>
      <c r="BC201" s="16" t="n">
        <f aca="false">SUMIFS(BC$63:BC$76, $A$63:$A$76,$A201, $C$63:$C$76, "$ Actual")/SUMIFS(BC$63:BC$76, $A$63:$A$76,$A201, $C$63:$C$76, "$ Budgeted")</f>
        <v>0.836679350447505</v>
      </c>
      <c r="BD201" s="16"/>
      <c r="BE201" s="16" t="n">
        <f aca="false">SUMIFS(BE$63:BE$76, $A$63:$A$76,$A201, $C$63:$C$76, "$ Actual")/SUMIFS(BE$63:BE$76, $A$63:$A$76,$A201, $C$63:$C$76, "$ Budgeted")</f>
        <v>0.820948145015745</v>
      </c>
    </row>
    <row r="202" customFormat="false" ht="12.75" hidden="false" customHeight="true" outlineLevel="0" collapsed="false">
      <c r="A202" s="1" t="s">
        <v>58</v>
      </c>
      <c r="B202" s="1" t="n">
        <v>2023</v>
      </c>
      <c r="C202" s="1" t="s">
        <v>80</v>
      </c>
      <c r="D202" s="16" t="n">
        <f aca="false">SUMIFS(D$63:D$76, $A$63:$A$76,$A202, $C$63:$C$76, "$ Actual")/SUMIFS(D$63:D$76, $A$63:$A$76,$A202, $C$63:$C$76, "$ Budgeted")</f>
        <v>1.19357039531921</v>
      </c>
      <c r="E202" s="16" t="e">
        <f aca="false">SUMIFS(E$63:E$76, $A$63:$A$76,$A202, $C$63:$C$76, "$ Actual")/SUMIFS(E$63:E$76, $A$63:$A$76,$A202, $C$63:$C$76, "$ Budgeted")</f>
        <v>#DIV/0!</v>
      </c>
      <c r="F202" s="16" t="n">
        <f aca="false">SUMIFS(F$63:F$76, $A$63:$A$76,$A202, $C$63:$C$76, "$ Actual")/SUMIFS(F$63:F$76, $A$63:$A$76,$A202, $C$63:$C$76, "$ Budgeted")</f>
        <v>0.820300423305961</v>
      </c>
      <c r="G202" s="16" t="e">
        <f aca="false">SUMIFS(G$63:G$76, $A$63:$A$76,$A202, $C$63:$C$76, "$ Actual")/SUMIFS(G$63:G$76, $A$63:$A$76,$A202, $C$63:$C$76, "$ Budgeted")</f>
        <v>#DIV/0!</v>
      </c>
      <c r="H202" s="16" t="e">
        <f aca="false">SUMIFS(H$63:H$76, $A$63:$A$76,$A202, $C$63:$C$76, "$ Actual")/SUMIFS(H$63:H$76, $A$63:$A$76,$A202, $C$63:$C$76, "$ Budgeted")</f>
        <v>#DIV/0!</v>
      </c>
      <c r="I202" s="16" t="n">
        <f aca="false">SUMIFS(I$63:I$76, $A$63:$A$76,$A202, $C$63:$C$76, "$ Actual")/SUMIFS(I$63:I$76, $A$63:$A$76,$A202, $C$63:$C$76, "$ Budgeted")</f>
        <v>0.489057397593294</v>
      </c>
      <c r="J202" s="16" t="n">
        <f aca="false">SUMIFS(J$63:J$76, $A$63:$A$76,$A202, $C$63:$C$76, "$ Actual")/SUMIFS(J$63:J$76, $A$63:$A$76,$A202, $C$63:$C$76, "$ Budgeted")</f>
        <v>0.451800742142815</v>
      </c>
      <c r="K202" s="16" t="e">
        <f aca="false">SUMIFS(K$63:K$76, $A$63:$A$76,$A202, $C$63:$C$76, "$ Actual")/SUMIFS(K$63:K$76, $A$63:$A$76,$A202, $C$63:$C$76, "$ Budgeted")</f>
        <v>#DIV/0!</v>
      </c>
      <c r="L202" s="16" t="e">
        <f aca="false">SUMIFS(L$63:L$76, $A$63:$A$76,$A202, $C$63:$C$76, "$ Actual")/SUMIFS(L$63:L$76, $A$63:$A$76,$A202, $C$63:$C$76, "$ Budgeted")</f>
        <v>#DIV/0!</v>
      </c>
      <c r="M202" s="16" t="e">
        <f aca="false">SUMIFS(M$63:M$76, $A$63:$A$76,$A202, $C$63:$C$76, "$ Actual")/SUMIFS(M$63:M$76, $A$63:$A$76,$A202, $C$63:$C$76, "$ Budgeted")</f>
        <v>#DIV/0!</v>
      </c>
      <c r="N202" s="16"/>
      <c r="O202" s="16" t="e">
        <f aca="false">SUMIFS(O$63:O$76, $A$63:$A$76,$A202, $C$63:$C$76, "$ Actual")/SUMIFS(O$63:O$76, $A$63:$A$76,$A202, $C$63:$C$76, "$ Budgeted")</f>
        <v>#DIV/0!</v>
      </c>
      <c r="P202" s="16" t="n">
        <f aca="false">SUMIFS(P$63:P$76, $A$63:$A$76,$A202, $C$63:$C$76, "$ Actual")/SUMIFS(P$63:P$76, $A$63:$A$76,$A202, $C$63:$C$76, "$ Budgeted")</f>
        <v>0.902050885459756</v>
      </c>
      <c r="Q202" s="16" t="e">
        <f aca="false">SUMIFS(Q$63:Q$76, $A$63:$A$76,$A202, $C$63:$C$76, "$ Actual")/SUMIFS(Q$63:Q$76, $A$63:$A$76,$A202, $C$63:$C$76, "$ Budgeted")</f>
        <v>#DIV/0!</v>
      </c>
      <c r="R202" s="16" t="e">
        <f aca="false">SUMIFS(R$63:R$76, $A$63:$A$76,$A202, $C$63:$C$76, "$ Actual")/SUMIFS(R$63:R$76, $A$63:$A$76,$A202, $C$63:$C$76, "$ Budgeted")</f>
        <v>#DIV/0!</v>
      </c>
      <c r="S202" s="16" t="e">
        <f aca="false">SUMIFS(S$63:S$76, $A$63:$A$76,$A202, $C$63:$C$76, "$ Actual")/SUMIFS(S$63:S$76, $A$63:$A$76,$A202, $C$63:$C$76, "$ Budgeted")</f>
        <v>#DIV/0!</v>
      </c>
      <c r="T202" s="16" t="e">
        <f aca="false">SUMIFS(T$63:T$76, $A$63:$A$76,$A202, $C$63:$C$76, "$ Actual")/SUMIFS(T$63:T$76, $A$63:$A$76,$A202, $C$63:$C$76, "$ Budgeted")</f>
        <v>#DIV/0!</v>
      </c>
      <c r="U202" s="16" t="e">
        <f aca="false">SUMIFS(U$63:U$76, $A$63:$A$76,$A202, $C$63:$C$76, "$ Actual")/SUMIFS(U$63:U$76, $A$63:$A$76,$A202, $C$63:$C$76, "$ Budgeted")</f>
        <v>#DIV/0!</v>
      </c>
      <c r="V202" s="16" t="e">
        <f aca="false">SUMIFS(V$63:V$76, $A$63:$A$76,$A202, $C$63:$C$76, "$ Actual")/SUMIFS(V$63:V$76, $A$63:$A$76,$A202, $C$63:$C$76, "$ Budgeted")</f>
        <v>#DIV/0!</v>
      </c>
      <c r="W202" s="16" t="e">
        <f aca="false">SUMIFS(W$63:W$76, $A$63:$A$76,$A202, $C$63:$C$76, "$ Actual")/SUMIFS(W$63:W$76, $A$63:$A$76,$A202, $C$63:$C$76, "$ Budgeted")</f>
        <v>#DIV/0!</v>
      </c>
      <c r="X202" s="16" t="e">
        <f aca="false">SUMIFS(X$63:X$76, $A$63:$A$76,$A202, $C$63:$C$76, "$ Actual")/SUMIFS(X$63:X$76, $A$63:$A$76,$A202, $C$63:$C$76, "$ Budgeted")</f>
        <v>#DIV/0!</v>
      </c>
      <c r="Y202" s="16"/>
      <c r="Z202" s="16" t="e">
        <f aca="false">SUMIFS(Z$63:Z$76, $A$63:$A$76,$A202, $C$63:$C$76, "Actual")/SUMIFS(Z$63:Z$76, $A$63:$A$76,$A202, $C$63:$C$76, "Budgeted")</f>
        <v>#DIV/0!</v>
      </c>
      <c r="AA202" s="16" t="e">
        <f aca="false">SUMIFS(AA$63:AA$76, $A$63:$A$76,$A202, $C$63:$C$76, "$ Actual")/SUMIFS(AA$63:AA$76, $A$63:$A$76,$A202, $C$63:$C$76, "$ Budgeted")</f>
        <v>#DIV/0!</v>
      </c>
      <c r="AB202" s="16" t="n">
        <f aca="false">SUMIFS(AB$63:AB$76, $A$63:$A$76,$A202, $C$63:$C$76, "$ Actual")/SUMIFS(AB$63:AB$76, $A$63:$A$76,$A202, $C$63:$C$76, "$ Budgeted")</f>
        <v>0.997125</v>
      </c>
      <c r="AC202" s="16" t="e">
        <f aca="false">SUMIFS(AC$63:AC$76, $A$63:$A$76,$A202, $C$63:$C$76, "Actual")/SUMIFS(AC$63:AC$76, $A$63:$A$76,$A202, $C$63:$C$76, "Budgeted")</f>
        <v>#DIV/0!</v>
      </c>
      <c r="AD202" s="16" t="n">
        <f aca="false">SUMIFS(AD$63:AD$76, $A$63:$A$76,$A202, $C$63:$C$76, "$ Actual")/SUMIFS(AD$63:AD$76, $A$63:$A$76,$A202, $C$63:$C$76, "$ Budgeted")</f>
        <v>0.964111781361566</v>
      </c>
      <c r="AE202" s="16" t="n">
        <f aca="false">SUMIFS(AE$63:AE$76, $A$63:$A$76,$A202, $C$63:$C$76, "$ Actual")/SUMIFS(AE$63:AE$76, $A$63:$A$76,$A202, $C$63:$C$76, "$ Budgeted")</f>
        <v>0.24879076817169</v>
      </c>
      <c r="AF202" s="16" t="n">
        <f aca="false">SUMIFS(AF$63:AF$76, $A$63:$A$76,$A202, $C$63:$C$76, "$ Actual")/SUMIFS(AF$63:AF$76, $A$63:$A$76,$A202, $C$63:$C$76, "$ Budgeted")</f>
        <v>0.975309421571104</v>
      </c>
      <c r="AG202" s="16" t="n">
        <f aca="false">SUMIFS(AG$63:AG$76, $A$63:$A$76,$A202, $C$63:$C$76, "$ Actual")/SUMIFS(AG$63:AG$76, $A$63:$A$76,$A202, $C$63:$C$76, "$ Budgeted")</f>
        <v>1.2638515625</v>
      </c>
      <c r="AH202" s="16" t="n">
        <f aca="false">SUMIFS(AH$63:AH$76, $A$63:$A$76,$A202, $C$63:$C$76, "$ Actual")/SUMIFS(AH$63:AH$76, $A$63:$A$76,$A202, $C$63:$C$76, "$ Budgeted")</f>
        <v>0.79908527131783</v>
      </c>
      <c r="AI202" s="16" t="n">
        <f aca="false">SUMIFS(AI$63:AI$76, $A$63:$A$76,$A202, $C$63:$C$76, "$ Actual")/SUMIFS(AI$63:AI$76, $A$63:$A$76,$A202, $C$63:$C$76, "$ Budgeted")</f>
        <v>1.01398563553851</v>
      </c>
      <c r="AJ202" s="16" t="e">
        <f aca="false">SUMIFS(AJ$63:AJ$76, $A$63:$A$76,$A202, $C$63:$C$76, "$ Actual")/SUMIFS(AJ$63:AJ$76, $A$63:$A$76,$A202, $C$63:$C$76, "$ Budgeted")</f>
        <v>#DIV/0!</v>
      </c>
      <c r="AK202" s="16"/>
      <c r="AL202" s="16" t="e">
        <f aca="false">SUMIFS(AL$63:AL$76, $A$63:$A$76,$A202, $C$63:$C$76, "$ Actual")/SUMIFS(AL$63:AL$76, $A$63:$A$76,$A202, $C$63:$C$76, "$ Budgeted")</f>
        <v>#DIV/0!</v>
      </c>
      <c r="AM202" s="16" t="n">
        <f aca="false">SUMIFS(AM$63:AM$76, $A$63:$A$76,$A202, $C$63:$C$76, "$ Actual")/SUMIFS(AM$63:AM$76, $A$63:$A$76,$A202, $C$63:$C$76, "$ Budgeted")</f>
        <v>0</v>
      </c>
      <c r="AN202" s="16" t="e">
        <f aca="false">SUMIFS(AN$63:AN$76, $A$63:$A$76,$A202, $C$63:$C$76, "$ Actual")/SUMIFS(AN$63:AN$76, $A$63:$A$76,$A202, $C$63:$C$76, "$ Budgeted")</f>
        <v>#DIV/0!</v>
      </c>
      <c r="AO202" s="16" t="e">
        <f aca="false">SUMIFS(AO$63:AO$76, $A$63:$A$76,$A202, $C$63:$C$76, "$ Actual")/SUMIFS(AO$63:AO$76, $A$63:$A$76,$A202, $C$63:$C$76, "$ Budgeted")</f>
        <v>#DIV/0!</v>
      </c>
      <c r="AP202" s="16" t="e">
        <f aca="false">SUMIFS(AP$63:AP$76, $A$63:$A$76,$A202, $C$63:$C$76, "$ Actual")/SUMIFS(AP$63:AP$76, $A$63:$A$76,$A202, $C$63:$C$76, "$ Budgeted")</f>
        <v>#DIV/0!</v>
      </c>
      <c r="AQ202" s="16" t="e">
        <f aca="false">SUMIFS(AQ$63:AQ$76, $A$63:$A$76,$A202, $C$63:$C$76, "$ Actual")/SUMIFS(AQ$63:AQ$76, $A$63:$A$76,$A202, $C$63:$C$76, "$ Budgeted")</f>
        <v>#DIV/0!</v>
      </c>
      <c r="AR202" s="16" t="e">
        <f aca="false">SUMIFS(AR$63:AR$76, $A$63:$A$76,$A202, $C$63:$C$76, "$ Actual")/SUMIFS(AR$63:AR$76, $A$63:$A$76,$A202, $C$63:$C$76, "$ Budgeted")</f>
        <v>#DIV/0!</v>
      </c>
      <c r="AS202" s="16" t="e">
        <f aca="false">SUMIFS(AS$63:AS$76, $A$63:$A$76,$A202, $C$63:$C$76, "$ Actual")/SUMIFS(AS$63:AS$76, $A$63:$A$76,$A202, $C$63:$C$76, "$ Budgeted")</f>
        <v>#DIV/0!</v>
      </c>
      <c r="AT202" s="16" t="e">
        <f aca="false">SUMIFS(AT$63:AT$76, $A$63:$A$76,$A202, $C$63:$C$76, "$ Actual")/SUMIFS(AT$63:AT$76, $A$63:$A$76,$A202, $C$63:$C$76, "$ Budgeted")</f>
        <v>#DIV/0!</v>
      </c>
      <c r="AU202" s="16" t="e">
        <f aca="false">SUMIFS(AU$63:AU$76, $A$63:$A$76,$A202, $C$63:$C$76, "$ Actual")/SUMIFS(AU$63:AU$76, $A$63:$A$76,$A202, $C$63:$C$76, "$ Budgeted")</f>
        <v>#DIV/0!</v>
      </c>
      <c r="AV202" s="16"/>
      <c r="AW202" s="16"/>
      <c r="AX202" s="16"/>
      <c r="AY202" s="16" t="n">
        <f aca="false">SUMIFS(AY$63:AY$76, $A$63:$A$76,$A202, $C$63:$C$76, "$ Actual")/SUMIFS(AY$63:AY$76, $A$63:$A$76,$A202, $C$63:$C$76, "$ Budgeted")</f>
        <v>0</v>
      </c>
      <c r="AZ202" s="16" t="n">
        <f aca="false">SUMIFS(AZ$63:AZ$76, $A$63:$A$76,$A202, $C$63:$C$76, "$ Actual")/SUMIFS(AZ$63:AZ$76, $A$63:$A$76,$A202, $C$63:$C$76, "$ Budgeted")</f>
        <v>0.667627036422448</v>
      </c>
      <c r="BA202" s="16" t="n">
        <f aca="false">SUMIFS(BA$63:BA$76, $A$63:$A$76,$A202, $C$63:$C$76, "$ Actual")/SUMIFS(BA$63:BA$76, $A$63:$A$76,$A202, $C$63:$C$76, "$ Budgeted")</f>
        <v>0.902050885459756</v>
      </c>
      <c r="BB202" s="16" t="n">
        <f aca="false">SUMIFS(BB$63:BB$76, $A$63:$A$76,$A202, $C$63:$C$76, "$ Actual")/SUMIFS(BB$63:BB$76, $A$63:$A$76,$A202, $C$63:$C$76, "$ Budgeted")</f>
        <v>0.997125</v>
      </c>
      <c r="BC202" s="16" t="n">
        <f aca="false">SUMIFS(BC$63:BC$76, $A$63:$A$76,$A202, $C$63:$C$76, "$ Actual")/SUMIFS(BC$63:BC$76, $A$63:$A$76,$A202, $C$63:$C$76, "$ Budgeted")</f>
        <v>0.860125430757387</v>
      </c>
      <c r="BD202" s="16"/>
      <c r="BE202" s="16" t="n">
        <f aca="false">SUMIFS(BE$63:BE$76, $A$63:$A$76,$A202, $C$63:$C$76, "$ Actual")/SUMIFS(BE$63:BE$76, $A$63:$A$76,$A202, $C$63:$C$76, "$ Budgeted")</f>
        <v>0.761645557742322</v>
      </c>
    </row>
    <row r="203" customFormat="false" ht="12.75" hidden="false" customHeight="true" outlineLevel="0" collapsed="false">
      <c r="A203" s="1" t="s">
        <v>59</v>
      </c>
      <c r="B203" s="1" t="n">
        <v>2023</v>
      </c>
      <c r="C203" s="1" t="s">
        <v>80</v>
      </c>
      <c r="D203" s="16" t="n">
        <f aca="false">SUMIFS(D$63:D$76, $A$63:$A$76,$A203, $C$63:$C$76, "$ Actual")/SUMIFS(D$63:D$76, $A$63:$A$76,$A203, $C$63:$C$76, "$ Budgeted")</f>
        <v>1.12014973858126</v>
      </c>
      <c r="E203" s="16" t="n">
        <f aca="false">SUMIFS(E$63:E$76, $A$63:$A$76,$A203, $C$63:$C$76, "$ Actual")/SUMIFS(E$63:E$76, $A$63:$A$76,$A203, $C$63:$C$76, "$ Budgeted")</f>
        <v>1.13076401957094</v>
      </c>
      <c r="F203" s="16" t="n">
        <f aca="false">SUMIFS(F$63:F$76, $A$63:$A$76,$A203, $C$63:$C$76, "$ Actual")/SUMIFS(F$63:F$76, $A$63:$A$76,$A203, $C$63:$C$76, "$ Budgeted")</f>
        <v>1.27126141808589</v>
      </c>
      <c r="G203" s="16" t="n">
        <f aca="false">SUMIFS(G$63:G$76, $A$63:$A$76,$A203, $C$63:$C$76, "$ Actual")/SUMIFS(G$63:G$76, $A$63:$A$76,$A203, $C$63:$C$76, "$ Budgeted")</f>
        <v>1.1700670547874</v>
      </c>
      <c r="H203" s="16" t="n">
        <f aca="false">SUMIFS(H$63:H$76, $A$63:$A$76,$A203, $C$63:$C$76, "$ Actual")/SUMIFS(H$63:H$76, $A$63:$A$76,$A203, $C$63:$C$76, "$ Budgeted")</f>
        <v>1.2836121484297</v>
      </c>
      <c r="I203" s="16" t="n">
        <f aca="false">SUMIFS(I$63:I$76, $A$63:$A$76,$A203, $C$63:$C$76, "$ Actual")/SUMIFS(I$63:I$76, $A$63:$A$76,$A203, $C$63:$C$76, "$ Budgeted")</f>
        <v>0.680992068304181</v>
      </c>
      <c r="J203" s="16" t="n">
        <f aca="false">SUMIFS(J$63:J$76, $A$63:$A$76,$A203, $C$63:$C$76, "$ Actual")/SUMIFS(J$63:J$76, $A$63:$A$76,$A203, $C$63:$C$76, "$ Budgeted")</f>
        <v>1.20211748263482</v>
      </c>
      <c r="K203" s="16" t="e">
        <f aca="false">SUMIFS(K$63:K$76, $A$63:$A$76,$A203, $C$63:$C$76, "$ Actual")/SUMIFS(K$63:K$76, $A$63:$A$76,$A203, $C$63:$C$76, "$ Budgeted")</f>
        <v>#DIV/0!</v>
      </c>
      <c r="L203" s="16" t="e">
        <f aca="false">SUMIFS(L$63:L$76, $A$63:$A$76,$A203, $C$63:$C$76, "$ Actual")/SUMIFS(L$63:L$76, $A$63:$A$76,$A203, $C$63:$C$76, "$ Budgeted")</f>
        <v>#DIV/0!</v>
      </c>
      <c r="M203" s="16" t="e">
        <f aca="false">SUMIFS(M$63:M$76, $A$63:$A$76,$A203, $C$63:$C$76, "$ Actual")/SUMIFS(M$63:M$76, $A$63:$A$76,$A203, $C$63:$C$76, "$ Budgeted")</f>
        <v>#DIV/0!</v>
      </c>
      <c r="N203" s="16"/>
      <c r="O203" s="16" t="n">
        <f aca="false">SUMIFS(O$63:O$76, $A$63:$A$76,$A203, $C$63:$C$76, "$ Actual")/SUMIFS(O$63:O$76, $A$63:$A$76,$A203, $C$63:$C$76, "$ Budgeted")</f>
        <v>1.32813910540325</v>
      </c>
      <c r="P203" s="16" t="n">
        <f aca="false">SUMIFS(P$63:P$76, $A$63:$A$76,$A203, $C$63:$C$76, "$ Actual")/SUMIFS(P$63:P$76, $A$63:$A$76,$A203, $C$63:$C$76, "$ Budgeted")</f>
        <v>1.31453231513624</v>
      </c>
      <c r="Q203" s="16" t="n">
        <f aca="false">SUMIFS(Q$63:Q$76, $A$63:$A$76,$A203, $C$63:$C$76, "$ Actual")/SUMIFS(Q$63:Q$76, $A$63:$A$76,$A203, $C$63:$C$76, "$ Budgeted")</f>
        <v>1.07532757574012</v>
      </c>
      <c r="R203" s="16" t="n">
        <f aca="false">SUMIFS(R$63:R$76, $A$63:$A$76,$A203, $C$63:$C$76, "$ Actual")/SUMIFS(R$63:R$76, $A$63:$A$76,$A203, $C$63:$C$76, "$ Budgeted")</f>
        <v>2.23925911181419</v>
      </c>
      <c r="S203" s="16" t="n">
        <f aca="false">SUMIFS(S$63:S$76, $A$63:$A$76,$A203, $C$63:$C$76, "$ Actual")/SUMIFS(S$63:S$76, $A$63:$A$76,$A203, $C$63:$C$76, "$ Budgeted")</f>
        <v>1.46293862192498</v>
      </c>
      <c r="T203" s="16" t="e">
        <f aca="false">SUMIFS(T$63:T$76, $A$63:$A$76,$A203, $C$63:$C$76, "$ Actual")/SUMIFS(T$63:T$76, $A$63:$A$76,$A203, $C$63:$C$76, "$ Budgeted")</f>
        <v>#DIV/0!</v>
      </c>
      <c r="U203" s="16" t="e">
        <f aca="false">SUMIFS(U$63:U$76, $A$63:$A$76,$A203, $C$63:$C$76, "$ Actual")/SUMIFS(U$63:U$76, $A$63:$A$76,$A203, $C$63:$C$76, "$ Budgeted")</f>
        <v>#DIV/0!</v>
      </c>
      <c r="V203" s="16" t="e">
        <f aca="false">SUMIFS(V$63:V$76, $A$63:$A$76,$A203, $C$63:$C$76, "$ Actual")/SUMIFS(V$63:V$76, $A$63:$A$76,$A203, $C$63:$C$76, "$ Budgeted")</f>
        <v>#DIV/0!</v>
      </c>
      <c r="W203" s="16" t="e">
        <f aca="false">SUMIFS(W$63:W$76, $A$63:$A$76,$A203, $C$63:$C$76, "$ Actual")/SUMIFS(W$63:W$76, $A$63:$A$76,$A203, $C$63:$C$76, "$ Budgeted")</f>
        <v>#DIV/0!</v>
      </c>
      <c r="X203" s="16" t="e">
        <f aca="false">SUMIFS(X$63:X$76, $A$63:$A$76,$A203, $C$63:$C$76, "$ Actual")/SUMIFS(X$63:X$76, $A$63:$A$76,$A203, $C$63:$C$76, "$ Budgeted")</f>
        <v>#DIV/0!</v>
      </c>
      <c r="Y203" s="16"/>
      <c r="Z203" s="16" t="e">
        <f aca="false">SUMIFS(Z$63:Z$76, $A$63:$A$76,$A203, $C$63:$C$76, "Actual")/SUMIFS(Z$63:Z$76, $A$63:$A$76,$A203, $C$63:$C$76, "Budgeted")</f>
        <v>#DIV/0!</v>
      </c>
      <c r="AA203" s="16" t="n">
        <f aca="false">SUMIFS(AA$63:AA$76, $A$63:$A$76,$A203, $C$63:$C$76, "$ Actual")/SUMIFS(AA$63:AA$76, $A$63:$A$76,$A203, $C$63:$C$76, "$ Budgeted")</f>
        <v>0.814161810192867</v>
      </c>
      <c r="AB203" s="16" t="n">
        <f aca="false">SUMIFS(AB$63:AB$76, $A$63:$A$76,$A203, $C$63:$C$76, "$ Actual")/SUMIFS(AB$63:AB$76, $A$63:$A$76,$A203, $C$63:$C$76, "$ Budgeted")</f>
        <v>0.977415144580508</v>
      </c>
      <c r="AC203" s="16" t="e">
        <f aca="false">SUMIFS(AC$63:AC$76, $A$63:$A$76,$A203, $C$63:$C$76, "Actual")/SUMIFS(AC$63:AC$76, $A$63:$A$76,$A203, $C$63:$C$76, "Budgeted")</f>
        <v>#DIV/0!</v>
      </c>
      <c r="AD203" s="16" t="n">
        <f aca="false">SUMIFS(AD$63:AD$76, $A$63:$A$76,$A203, $C$63:$C$76, "$ Actual")/SUMIFS(AD$63:AD$76, $A$63:$A$76,$A203, $C$63:$C$76, "$ Budgeted")</f>
        <v>0.741561605196803</v>
      </c>
      <c r="AE203" s="16" t="n">
        <f aca="false">SUMIFS(AE$63:AE$76, $A$63:$A$76,$A203, $C$63:$C$76, "$ Actual")/SUMIFS(AE$63:AE$76, $A$63:$A$76,$A203, $C$63:$C$76, "$ Budgeted")</f>
        <v>1.18671556869526</v>
      </c>
      <c r="AF203" s="16" t="n">
        <f aca="false">SUMIFS(AF$63:AF$76, $A$63:$A$76,$A203, $C$63:$C$76, "$ Actual")/SUMIFS(AF$63:AF$76, $A$63:$A$76,$A203, $C$63:$C$76, "$ Budgeted")</f>
        <v>1.03876079734219</v>
      </c>
      <c r="AG203" s="16" t="n">
        <f aca="false">SUMIFS(AG$63:AG$76, $A$63:$A$76,$A203, $C$63:$C$76, "$ Actual")/SUMIFS(AG$63:AG$76, $A$63:$A$76,$A203, $C$63:$C$76, "$ Budgeted")</f>
        <v>1.02730665662311</v>
      </c>
      <c r="AH203" s="16" t="n">
        <f aca="false">SUMIFS(AH$63:AH$76, $A$63:$A$76,$A203, $C$63:$C$76, "$ Actual")/SUMIFS(AH$63:AH$76, $A$63:$A$76,$A203, $C$63:$C$76, "$ Budgeted")</f>
        <v>0.840215536766236</v>
      </c>
      <c r="AI203" s="16" t="n">
        <f aca="false">SUMIFS(AI$63:AI$76, $A$63:$A$76,$A203, $C$63:$C$76, "$ Actual")/SUMIFS(AI$63:AI$76, $A$63:$A$76,$A203, $C$63:$C$76, "$ Budgeted")</f>
        <v>0.960148391976039</v>
      </c>
      <c r="AJ203" s="16" t="e">
        <f aca="false">SUMIFS(AJ$63:AJ$76, $A$63:$A$76,$A203, $C$63:$C$76, "$ Actual")/SUMIFS(AJ$63:AJ$76, $A$63:$A$76,$A203, $C$63:$C$76, "$ Budgeted")</f>
        <v>#DIV/0!</v>
      </c>
      <c r="AK203" s="16"/>
      <c r="AL203" s="16" t="n">
        <f aca="false">SUMIFS(AL$63:AL$76, $A$63:$A$76,$A203, $C$63:$C$76, "$ Actual")/SUMIFS(AL$63:AL$76, $A$63:$A$76,$A203, $C$63:$C$76, "$ Budgeted")</f>
        <v>2.00572072603141</v>
      </c>
      <c r="AM203" s="16" t="n">
        <f aca="false">SUMIFS(AM$63:AM$76, $A$63:$A$76,$A203, $C$63:$C$76, "$ Actual")/SUMIFS(AM$63:AM$76, $A$63:$A$76,$A203, $C$63:$C$76, "$ Budgeted")</f>
        <v>2.92402778971305</v>
      </c>
      <c r="AN203" s="16" t="n">
        <f aca="false">SUMIFS(AN$63:AN$76, $A$63:$A$76,$A203, $C$63:$C$76, "$ Actual")/SUMIFS(AN$63:AN$76, $A$63:$A$76,$A203, $C$63:$C$76, "$ Budgeted")</f>
        <v>1.36128632022671</v>
      </c>
      <c r="AO203" s="16" t="n">
        <f aca="false">SUMIFS(AO$63:AO$76, $A$63:$A$76,$A203, $C$63:$C$76, "$ Actual")/SUMIFS(AO$63:AO$76, $A$63:$A$76,$A203, $C$63:$C$76, "$ Budgeted")</f>
        <v>1.36310768070638</v>
      </c>
      <c r="AP203" s="16" t="n">
        <f aca="false">SUMIFS(AP$63:AP$76, $A$63:$A$76,$A203, $C$63:$C$76, "$ Actual")/SUMIFS(AP$63:AP$76, $A$63:$A$76,$A203, $C$63:$C$76, "$ Budgeted")</f>
        <v>1.44742841190786</v>
      </c>
      <c r="AQ203" s="16" t="n">
        <f aca="false">SUMIFS(AQ$63:AQ$76, $A$63:$A$76,$A203, $C$63:$C$76, "$ Actual")/SUMIFS(AQ$63:AQ$76, $A$63:$A$76,$A203, $C$63:$C$76, "$ Budgeted")</f>
        <v>1.71301118583315</v>
      </c>
      <c r="AR203" s="16" t="n">
        <f aca="false">SUMIFS(AR$63:AR$76, $A$63:$A$76,$A203, $C$63:$C$76, "$ Actual")/SUMIFS(AR$63:AR$76, $A$63:$A$76,$A203, $C$63:$C$76, "$ Budgeted")</f>
        <v>0.569937287607273</v>
      </c>
      <c r="AS203" s="16" t="e">
        <f aca="false">SUMIFS(AS$63:AS$76, $A$63:$A$76,$A203, $C$63:$C$76, "$ Actual")/SUMIFS(AS$63:AS$76, $A$63:$A$76,$A203, $C$63:$C$76, "$ Budgeted")</f>
        <v>#DIV/0!</v>
      </c>
      <c r="AT203" s="16" t="e">
        <f aca="false">SUMIFS(AT$63:AT$76, $A$63:$A$76,$A203, $C$63:$C$76, "$ Actual")/SUMIFS(AT$63:AT$76, $A$63:$A$76,$A203, $C$63:$C$76, "$ Budgeted")</f>
        <v>#DIV/0!</v>
      </c>
      <c r="AU203" s="16" t="e">
        <f aca="false">SUMIFS(AU$63:AU$76, $A$63:$A$76,$A203, $C$63:$C$76, "$ Actual")/SUMIFS(AU$63:AU$76, $A$63:$A$76,$A203, $C$63:$C$76, "$ Budgeted")</f>
        <v>#DIV/0!</v>
      </c>
      <c r="AV203" s="16"/>
      <c r="AW203" s="16"/>
      <c r="AX203" s="16"/>
      <c r="AY203" s="16" t="n">
        <f aca="false">SUMIFS(AY$63:AY$76, $A$63:$A$76,$A203, $C$63:$C$76, "$ Actual")/SUMIFS(AY$63:AY$76, $A$63:$A$76,$A203, $C$63:$C$76, "$ Budgeted")</f>
        <v>1.50908602377139</v>
      </c>
      <c r="AZ203" s="16" t="n">
        <f aca="false">SUMIFS(AZ$63:AZ$76, $A$63:$A$76,$A203, $C$63:$C$76, "$ Actual")/SUMIFS(AZ$63:AZ$76, $A$63:$A$76,$A203, $C$63:$C$76, "$ Budgeted")</f>
        <v>1.04936862050606</v>
      </c>
      <c r="BA203" s="16" t="n">
        <f aca="false">SUMIFS(BA$63:BA$76, $A$63:$A$76,$A203, $C$63:$C$76, "$ Actual")/SUMIFS(BA$63:BA$76, $A$63:$A$76,$A203, $C$63:$C$76, "$ Budgeted")</f>
        <v>1.31765488083009</v>
      </c>
      <c r="BB203" s="16" t="n">
        <f aca="false">SUMIFS(BB$63:BB$76, $A$63:$A$76,$A203, $C$63:$C$76, "$ Actual")/SUMIFS(BB$63:BB$76, $A$63:$A$76,$A203, $C$63:$C$76, "$ Budgeted")</f>
        <v>0.911608909121243</v>
      </c>
      <c r="BC203" s="16" t="n">
        <f aca="false">SUMIFS(BC$63:BC$76, $A$63:$A$76,$A203, $C$63:$C$76, "$ Actual")/SUMIFS(BC$63:BC$76, $A$63:$A$76,$A203, $C$63:$C$76, "$ Budgeted")</f>
        <v>0.931946281700604</v>
      </c>
      <c r="BD203" s="16"/>
      <c r="BE203" s="16" t="n">
        <f aca="false">SUMIFS(BE$63:BE$76, $A$63:$A$76,$A203, $C$63:$C$76, "$ Actual")/SUMIFS(BE$63:BE$76, $A$63:$A$76,$A203, $C$63:$C$76, "$ Budgeted")</f>
        <v>1.17779830575086</v>
      </c>
    </row>
    <row r="204" customFormat="false" ht="12.75" hidden="false" customHeight="true" outlineLevel="0" collapsed="false"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</row>
    <row r="205" customFormat="false" ht="12.75" hidden="false" customHeight="true" outlineLevel="0" collapsed="false">
      <c r="A205" s="1" t="s">
        <v>51</v>
      </c>
      <c r="B205" s="1" t="n">
        <v>2023</v>
      </c>
      <c r="C205" s="17" t="s">
        <v>82</v>
      </c>
      <c r="D205" s="16" t="n">
        <f aca="false">SUMIFS(D$63:D$76, $A$63:$A$76,$A205, $C$63:$C$76, "$ Actual")/D$156</f>
        <v>0.24354554387769</v>
      </c>
      <c r="E205" s="16" t="n">
        <f aca="false">SUMIFS(E$63:E$76, $A$63:$A$76,$A205, $C$63:$C$76, "$ Actual")/E$156</f>
        <v>0.155920844781864</v>
      </c>
      <c r="F205" s="16" t="n">
        <f aca="false">SUMIFS(F$63:F$76, $A$63:$A$76,$A205, $C$63:$C$76, "$ Actual")/F$156</f>
        <v>0.1154161039228</v>
      </c>
      <c r="G205" s="16" t="n">
        <f aca="false">SUMIFS(G$63:G$76, $A$63:$A$76,$A205, $C$63:$C$76, "$ Actual")/G$156</f>
        <v>0.223608621597621</v>
      </c>
      <c r="H205" s="16" t="n">
        <f aca="false">SUMIFS(H$63:H$76, $A$63:$A$76,$A205, $C$63:$C$76, "$ Actual")/H$156</f>
        <v>0.188723299764544</v>
      </c>
      <c r="I205" s="16" t="n">
        <f aca="false">SUMIFS(I$63:I$76, $A$63:$A$76,$A205, $C$63:$C$76, "$ Actual")/I$156</f>
        <v>0.124563393866091</v>
      </c>
      <c r="J205" s="16" t="n">
        <f aca="false">SUMIFS(J$63:J$76, $A$63:$A$76,$A205, $C$63:$C$76, "$ Actual")/J$156</f>
        <v>0.0412314204553383</v>
      </c>
      <c r="K205" s="16" t="n">
        <f aca="false">SUMIFS(K$63:K$76, $A$63:$A$76,$A205, $C$63:$C$76, "$ Actual")/K$156</f>
        <v>0</v>
      </c>
      <c r="L205" s="16" t="n">
        <f aca="false">SUMIFS(L$63:L$76, $A$63:$A$76,$A205, $C$63:$C$76, "$ Actual")/L$156</f>
        <v>0</v>
      </c>
      <c r="M205" s="16" t="e">
        <f aca="false">SUMIFS(M$63:M$76, $A$63:$A$76,$A205, $C$63:$C$76, "$ Actual")/M$156</f>
        <v>#DIV/0!</v>
      </c>
      <c r="N205" s="16"/>
      <c r="O205" s="16" t="n">
        <f aca="false">SUMIFS(O$63:O$76, $A$63:$A$76,$A205, $C$63:$C$76, "$ Actual")/O$156</f>
        <v>0.192908733199229</v>
      </c>
      <c r="P205" s="16" t="n">
        <f aca="false">SUMIFS(P$63:P$76, $A$63:$A$76,$A205, $C$63:$C$76, "$ Actual")/P$156</f>
        <v>0.163223602604017</v>
      </c>
      <c r="Q205" s="16" t="n">
        <f aca="false">SUMIFS(Q$63:Q$76, $A$63:$A$76,$A205, $C$63:$C$76, "$ Actual")/Q$156</f>
        <v>0.246727198765584</v>
      </c>
      <c r="R205" s="16" t="n">
        <f aca="false">SUMIFS(R$63:R$76, $A$63:$A$76,$A205, $C$63:$C$76, "$ Actual")/R$156</f>
        <v>0</v>
      </c>
      <c r="S205" s="16" t="n">
        <f aca="false">SUMIFS(S$63:S$76, $A$63:$A$76,$A205, $C$63:$C$76, "$ Actual")/S$156</f>
        <v>0.0908483198647438</v>
      </c>
      <c r="T205" s="16" t="n">
        <f aca="false">SUMIFS(T$63:T$76, $A$63:$A$76,$A205, $C$63:$C$76, "$ Actual")/T$156</f>
        <v>0</v>
      </c>
      <c r="U205" s="16" t="n">
        <f aca="false">SUMIFS(U$63:U$76, $A$63:$A$76,$A205, $C$63:$C$76, "$ Actual")/U$156</f>
        <v>0</v>
      </c>
      <c r="V205" s="16" t="n">
        <f aca="false">SUMIFS(V$63:V$76, $A$63:$A$76,$A205, $C$63:$C$76, "$ Actual")/V$156</f>
        <v>0</v>
      </c>
      <c r="W205" s="16" t="n">
        <f aca="false">SUMIFS(W$63:W$76, $A$63:$A$76,$A205, $C$63:$C$76, "$ Actual")/W$156</f>
        <v>0</v>
      </c>
      <c r="X205" s="16" t="e">
        <f aca="false">SUMIFS(X$63:X$76, $A$63:$A$76,$A205, $C$63:$C$76, "$ Actual")/X$156</f>
        <v>#DIV/0!</v>
      </c>
      <c r="Y205" s="16"/>
      <c r="Z205" s="16" t="e">
        <f aca="false">SUMIFS(Z$63:Z$76, $A$63:$A$76,$A205, $C$63:$C$76, "Actual")/Z$156</f>
        <v>#DIV/0!</v>
      </c>
      <c r="AA205" s="16" t="n">
        <f aca="false">SUMIFS(AA$63:AA$76, $A$63:$A$76,$A205, $C$63:$C$76, "$ Actual")/AA$156</f>
        <v>0.253630449287833</v>
      </c>
      <c r="AB205" s="16" t="n">
        <f aca="false">SUMIFS(AB$63:AB$76, $A$63:$A$76,$A205, $C$63:$C$76, "$ Actual")/AB$156</f>
        <v>0</v>
      </c>
      <c r="AC205" s="16" t="e">
        <f aca="false">SUMIFS(AC$63:AC$76, $A$63:$A$76,$A205, $C$63:$C$76, "Actual")/AC$156</f>
        <v>#DIV/0!</v>
      </c>
      <c r="AD205" s="16" t="n">
        <f aca="false">SUMIFS(AD$63:AD$76, $A$63:$A$76,$A205, $C$63:$C$76, "$ Actual")/AD$156</f>
        <v>0.341878459812488</v>
      </c>
      <c r="AE205" s="16" t="n">
        <f aca="false">SUMIFS(AE$63:AE$76, $A$63:$A$76,$A205, $C$63:$C$76, "$ Actual")/AE$156</f>
        <v>0.189815765922957</v>
      </c>
      <c r="AF205" s="16" t="n">
        <f aca="false">SUMIFS(AF$63:AF$76, $A$63:$A$76,$A205, $C$63:$C$76, "$ Actual")/AF$156</f>
        <v>0.273572833091393</v>
      </c>
      <c r="AG205" s="16" t="n">
        <f aca="false">SUMIFS(AG$63:AG$76, $A$63:$A$76,$A205, $C$63:$C$76, "$ Actual")/AG$156</f>
        <v>0.182444991228587</v>
      </c>
      <c r="AH205" s="16" t="n">
        <f aca="false">SUMIFS(AH$63:AH$76, $A$63:$A$76,$A205, $C$63:$C$76, "$ Actual")/AH$156</f>
        <v>0.215795111568982</v>
      </c>
      <c r="AI205" s="16" t="n">
        <f aca="false">SUMIFS(AI$63:AI$76, $A$63:$A$76,$A205, $C$63:$C$76, "$ Actual")/AI$156</f>
        <v>0.193344170922545</v>
      </c>
      <c r="AJ205" s="16" t="e">
        <f aca="false">SUMIFS(AJ$63:AJ$76, $A$63:$A$76,$A205, $C$63:$C$76, "$ Actual")/AJ$156</f>
        <v>#DIV/0!</v>
      </c>
      <c r="AK205" s="16"/>
      <c r="AL205" s="16" t="n">
        <f aca="false">SUMIFS(AL$63:AL$76, $A$63:$A$76,$A205, $C$63:$C$76, "$ Actual")/AL$156</f>
        <v>0.323092115630763</v>
      </c>
      <c r="AM205" s="16" t="n">
        <f aca="false">SUMIFS(AM$63:AM$76, $A$63:$A$76,$A205, $C$63:$C$76, "$ Actual")/AM$156</f>
        <v>0</v>
      </c>
      <c r="AN205" s="16" t="n">
        <f aca="false">SUMIFS(AN$63:AN$76, $A$63:$A$76,$A205, $C$63:$C$76, "$ Actual")/AN$156</f>
        <v>0.248464741484155</v>
      </c>
      <c r="AO205" s="16" t="n">
        <f aca="false">SUMIFS(AO$63:AO$76, $A$63:$A$76,$A205, $C$63:$C$76, "$ Actual")/AO$156</f>
        <v>0.30689747876482</v>
      </c>
      <c r="AP205" s="16" t="n">
        <f aca="false">SUMIFS(AP$63:AP$76, $A$63:$A$76,$A205, $C$63:$C$76, "$ Actual")/AP$156</f>
        <v>0.206735356579699</v>
      </c>
      <c r="AQ205" s="16" t="n">
        <f aca="false">SUMIFS(AQ$63:AQ$76, $A$63:$A$76,$A205, $C$63:$C$76, "$ Actual")/AQ$156</f>
        <v>0</v>
      </c>
      <c r="AR205" s="16" t="n">
        <f aca="false">SUMIFS(AR$63:AR$76, $A$63:$A$76,$A205, $C$63:$C$76, "$ Actual")/AR$156</f>
        <v>0.107444585453076</v>
      </c>
      <c r="AS205" s="16" t="n">
        <f aca="false">SUMIFS(AS$63:AS$76, $A$63:$A$76,$A205, $C$63:$C$76, "$ Actual")/AS$156</f>
        <v>0</v>
      </c>
      <c r="AT205" s="16" t="e">
        <f aca="false">SUMIFS(AT$63:AT$76, $A$63:$A$76,$A205, $C$63:$C$76, "$ Actual")/AT$156</f>
        <v>#DIV/0!</v>
      </c>
      <c r="AU205" s="16" t="e">
        <f aca="false">SUMIFS(AU$63:AU$76, $A$63:$A$76,$A205, $C$63:$C$76, "$ Actual")/AU$156</f>
        <v>#DIV/0!</v>
      </c>
      <c r="AV205" s="16"/>
      <c r="AW205" s="16"/>
      <c r="AX205" s="16"/>
      <c r="AY205" s="16" t="n">
        <f aca="false">SUMIFS(AY$63:AY$76, $A$63:$A$76,$A205, $C$63:$C$76, "$ Actual")/AY$156</f>
        <v>0.193266690444683</v>
      </c>
      <c r="AZ205" s="16" t="n">
        <f aca="false">SUMIFS(AZ$63:AZ$76, $A$63:$A$76,$A205, $C$63:$C$76, "$ Actual")/AZ$156</f>
        <v>0.148914139048848</v>
      </c>
      <c r="BA205" s="16" t="n">
        <f aca="false">SUMIFS(BA$63:BA$76, $A$63:$A$76,$A205, $C$63:$C$76, "$ Actual")/BA$156</f>
        <v>0.114470305311424</v>
      </c>
      <c r="BB205" s="16" t="n">
        <f aca="false">SUMIFS(BB$63:BB$76, $A$63:$A$76,$A205, $C$63:$C$76, "$ Actual")/BB$156</f>
        <v>0.128409784695861</v>
      </c>
      <c r="BC205" s="16" t="n">
        <f aca="false">SUMIFS(BC$63:BC$76, $A$63:$A$76,$A205, $C$63:$C$76, "$ Actual")/BC$156</f>
        <v>0.22950777099445</v>
      </c>
      <c r="BD205" s="16"/>
      <c r="BE205" s="16" t="n">
        <f aca="false">SUMIFS(BE$63:BE$76, $A$63:$A$76,$A205, $C$63:$C$76, "$ Actual")/BE$156</f>
        <v>0.170846402045957</v>
      </c>
    </row>
    <row r="206" customFormat="false" ht="12.75" hidden="false" customHeight="true" outlineLevel="0" collapsed="false">
      <c r="A206" s="1" t="s">
        <v>54</v>
      </c>
      <c r="B206" s="1" t="n">
        <v>2023</v>
      </c>
      <c r="C206" s="17" t="s">
        <v>82</v>
      </c>
      <c r="D206" s="16" t="n">
        <f aca="false">SUMIFS(D$63:D$76, $A$63:$A$76,$A206, $C$63:$C$76, "$ Actual")/D$156</f>
        <v>0.060862132873818</v>
      </c>
      <c r="E206" s="16" t="n">
        <f aca="false">SUMIFS(E$63:E$76, $A$63:$A$76,$A206, $C$63:$C$76, "$ Actual")/E$156</f>
        <v>0</v>
      </c>
      <c r="F206" s="16" t="n">
        <f aca="false">SUMIFS(F$63:F$76, $A$63:$A$76,$A206, $C$63:$C$76, "$ Actual")/F$156</f>
        <v>0</v>
      </c>
      <c r="G206" s="16" t="n">
        <f aca="false">SUMIFS(G$63:G$76, $A$63:$A$76,$A206, $C$63:$C$76, "$ Actual")/G$156</f>
        <v>0.103267702607244</v>
      </c>
      <c r="H206" s="16" t="n">
        <f aca="false">SUMIFS(H$63:H$76, $A$63:$A$76,$A206, $C$63:$C$76, "$ Actual")/H$156</f>
        <v>0.114893164088411</v>
      </c>
      <c r="I206" s="16" t="n">
        <f aca="false">SUMIFS(I$63:I$76, $A$63:$A$76,$A206, $C$63:$C$76, "$ Actual")/I$156</f>
        <v>0.0549898142664808</v>
      </c>
      <c r="J206" s="16" t="n">
        <f aca="false">SUMIFS(J$63:J$76, $A$63:$A$76,$A206, $C$63:$C$76, "$ Actual")/J$156</f>
        <v>0.0479637061236614</v>
      </c>
      <c r="K206" s="16" t="n">
        <f aca="false">SUMIFS(K$63:K$76, $A$63:$A$76,$A206, $C$63:$C$76, "$ Actual")/K$156</f>
        <v>0</v>
      </c>
      <c r="L206" s="16" t="n">
        <f aca="false">SUMIFS(L$63:L$76, $A$63:$A$76,$A206, $C$63:$C$76, "$ Actual")/L$156</f>
        <v>0</v>
      </c>
      <c r="M206" s="16" t="e">
        <f aca="false">SUMIFS(M$63:M$76, $A$63:$A$76,$A206, $C$63:$C$76, "$ Actual")/M$156</f>
        <v>#DIV/0!</v>
      </c>
      <c r="N206" s="16"/>
      <c r="O206" s="16" t="n">
        <f aca="false">SUMIFS(O$63:O$76, $A$63:$A$76,$A206, $C$63:$C$76, "$ Actual")/O$156</f>
        <v>0</v>
      </c>
      <c r="P206" s="16" t="n">
        <f aca="false">SUMIFS(P$63:P$76, $A$63:$A$76,$A206, $C$63:$C$76, "$ Actual")/P$156</f>
        <v>0.152453394692812</v>
      </c>
      <c r="Q206" s="16" t="n">
        <f aca="false">SUMIFS(Q$63:Q$76, $A$63:$A$76,$A206, $C$63:$C$76, "$ Actual")/Q$156</f>
        <v>0.0654628173747656</v>
      </c>
      <c r="R206" s="16" t="n">
        <f aca="false">SUMIFS(R$63:R$76, $A$63:$A$76,$A206, $C$63:$C$76, "$ Actual")/R$156</f>
        <v>0</v>
      </c>
      <c r="S206" s="16" t="n">
        <f aca="false">SUMIFS(S$63:S$76, $A$63:$A$76,$A206, $C$63:$C$76, "$ Actual")/S$156</f>
        <v>0.111178258375517</v>
      </c>
      <c r="T206" s="16" t="n">
        <f aca="false">SUMIFS(T$63:T$76, $A$63:$A$76,$A206, $C$63:$C$76, "$ Actual")/T$156</f>
        <v>0</v>
      </c>
      <c r="U206" s="16" t="n">
        <f aca="false">SUMIFS(U$63:U$76, $A$63:$A$76,$A206, $C$63:$C$76, "$ Actual")/U$156</f>
        <v>0</v>
      </c>
      <c r="V206" s="16" t="n">
        <f aca="false">SUMIFS(V$63:V$76, $A$63:$A$76,$A206, $C$63:$C$76, "$ Actual")/V$156</f>
        <v>0</v>
      </c>
      <c r="W206" s="16" t="n">
        <f aca="false">SUMIFS(W$63:W$76, $A$63:$A$76,$A206, $C$63:$C$76, "$ Actual")/W$156</f>
        <v>0</v>
      </c>
      <c r="X206" s="16" t="e">
        <f aca="false">SUMIFS(X$63:X$76, $A$63:$A$76,$A206, $C$63:$C$76, "$ Actual")/X$156</f>
        <v>#DIV/0!</v>
      </c>
      <c r="Y206" s="16"/>
      <c r="Z206" s="16" t="e">
        <f aca="false">SUMIFS(Z$63:Z$76, $A$63:$A$76,$A206, $C$63:$C$76, "Actual")/Z$156</f>
        <v>#DIV/0!</v>
      </c>
      <c r="AA206" s="16" t="n">
        <f aca="false">SUMIFS(AA$63:AA$76, $A$63:$A$76,$A206, $C$63:$C$76, "$ Actual")/AA$156</f>
        <v>0.0415644312974515</v>
      </c>
      <c r="AB206" s="16" t="n">
        <f aca="false">SUMIFS(AB$63:AB$76, $A$63:$A$76,$A206, $C$63:$C$76, "$ Actual")/AB$156</f>
        <v>0.0454106415879837</v>
      </c>
      <c r="AC206" s="16" t="e">
        <f aca="false">SUMIFS(AC$63:AC$76, $A$63:$A$76,$A206, $C$63:$C$76, "Actual")/AC$156</f>
        <v>#DIV/0!</v>
      </c>
      <c r="AD206" s="16" t="n">
        <f aca="false">SUMIFS(AD$63:AD$76, $A$63:$A$76,$A206, $C$63:$C$76, "$ Actual")/AD$156</f>
        <v>0.0677221566777225</v>
      </c>
      <c r="AE206" s="16" t="n">
        <f aca="false">SUMIFS(AE$63:AE$76, $A$63:$A$76,$A206, $C$63:$C$76, "$ Actual")/AE$156</f>
        <v>0.125871710156021</v>
      </c>
      <c r="AF206" s="16" t="n">
        <f aca="false">SUMIFS(AF$63:AF$76, $A$63:$A$76,$A206, $C$63:$C$76, "$ Actual")/AF$156</f>
        <v>0.113671243067846</v>
      </c>
      <c r="AG206" s="16" t="n">
        <f aca="false">SUMIFS(AG$63:AG$76, $A$63:$A$76,$A206, $C$63:$C$76, "$ Actual")/AG$156</f>
        <v>0.116446000209243</v>
      </c>
      <c r="AH206" s="16" t="n">
        <f aca="false">SUMIFS(AH$63:AH$76, $A$63:$A$76,$A206, $C$63:$C$76, "$ Actual")/AH$156</f>
        <v>0.048088948045839</v>
      </c>
      <c r="AI206" s="16" t="n">
        <f aca="false">SUMIFS(AI$63:AI$76, $A$63:$A$76,$A206, $C$63:$C$76, "$ Actual")/AI$156</f>
        <v>0.0718285479849116</v>
      </c>
      <c r="AJ206" s="16" t="e">
        <f aca="false">SUMIFS(AJ$63:AJ$76, $A$63:$A$76,$A206, $C$63:$C$76, "$ Actual")/AJ$156</f>
        <v>#DIV/0!</v>
      </c>
      <c r="AK206" s="16"/>
      <c r="AL206" s="16" t="n">
        <f aca="false">SUMIFS(AL$63:AL$76, $A$63:$A$76,$A206, $C$63:$C$76, "$ Actual")/AL$156</f>
        <v>0.0450972226544766</v>
      </c>
      <c r="AM206" s="16" t="n">
        <f aca="false">SUMIFS(AM$63:AM$76, $A$63:$A$76,$A206, $C$63:$C$76, "$ Actual")/AM$156</f>
        <v>0</v>
      </c>
      <c r="AN206" s="16" t="n">
        <f aca="false">SUMIFS(AN$63:AN$76, $A$63:$A$76,$A206, $C$63:$C$76, "$ Actual")/AN$156</f>
        <v>0</v>
      </c>
      <c r="AO206" s="16" t="n">
        <f aca="false">SUMIFS(AO$63:AO$76, $A$63:$A$76,$A206, $C$63:$C$76, "$ Actual")/AO$156</f>
        <v>0</v>
      </c>
      <c r="AP206" s="16" t="n">
        <f aca="false">SUMIFS(AP$63:AP$76, $A$63:$A$76,$A206, $C$63:$C$76, "$ Actual")/AP$156</f>
        <v>0.0203429617085906</v>
      </c>
      <c r="AQ206" s="16" t="n">
        <f aca="false">SUMIFS(AQ$63:AQ$76, $A$63:$A$76,$A206, $C$63:$C$76, "$ Actual")/AQ$156</f>
        <v>0</v>
      </c>
      <c r="AR206" s="16" t="n">
        <f aca="false">SUMIFS(AR$63:AR$76, $A$63:$A$76,$A206, $C$63:$C$76, "$ Actual")/AR$156</f>
        <v>0.0225359005288916</v>
      </c>
      <c r="AS206" s="16" t="n">
        <f aca="false">SUMIFS(AS$63:AS$76, $A$63:$A$76,$A206, $C$63:$C$76, "$ Actual")/AS$156</f>
        <v>0</v>
      </c>
      <c r="AT206" s="16" t="e">
        <f aca="false">SUMIFS(AT$63:AT$76, $A$63:$A$76,$A206, $C$63:$C$76, "$ Actual")/AT$156</f>
        <v>#DIV/0!</v>
      </c>
      <c r="AU206" s="16" t="e">
        <f aca="false">SUMIFS(AU$63:AU$76, $A$63:$A$76,$A206, $C$63:$C$76, "$ Actual")/AU$156</f>
        <v>#DIV/0!</v>
      </c>
      <c r="AV206" s="16"/>
      <c r="AW206" s="16"/>
      <c r="AX206" s="16"/>
      <c r="AY206" s="16" t="n">
        <f aca="false">SUMIFS(AY$63:AY$76, $A$63:$A$76,$A206, $C$63:$C$76, "$ Actual")/AY$156</f>
        <v>0.0116237567662625</v>
      </c>
      <c r="AZ206" s="16" t="n">
        <f aca="false">SUMIFS(AZ$63:AZ$76, $A$63:$A$76,$A206, $C$63:$C$76, "$ Actual")/AZ$156</f>
        <v>0.0590613218952933</v>
      </c>
      <c r="BA206" s="16" t="n">
        <f aca="false">SUMIFS(BA$63:BA$76, $A$63:$A$76,$A206, $C$63:$C$76, "$ Actual")/BA$156</f>
        <v>0.0498520337125651</v>
      </c>
      <c r="BB206" s="16" t="n">
        <f aca="false">SUMIFS(BB$63:BB$76, $A$63:$A$76,$A206, $C$63:$C$76, "$ Actual")/BB$156</f>
        <v>0.0434633555397626</v>
      </c>
      <c r="BC206" s="16" t="n">
        <f aca="false">SUMIFS(BC$63:BC$76, $A$63:$A$76,$A206, $C$63:$C$76, "$ Actual")/BC$156</f>
        <v>0.0869155719825421</v>
      </c>
      <c r="BD206" s="16"/>
      <c r="BE206" s="16" t="n">
        <f aca="false">SUMIFS(BE$63:BE$76, $A$63:$A$76,$A206, $C$63:$C$76, "$ Actual")/BE$156</f>
        <v>0.0516193480130958</v>
      </c>
    </row>
    <row r="207" customFormat="false" ht="12.75" hidden="false" customHeight="true" outlineLevel="0" collapsed="false">
      <c r="A207" s="1" t="s">
        <v>55</v>
      </c>
      <c r="B207" s="1" t="n">
        <v>2023</v>
      </c>
      <c r="C207" s="17" t="s">
        <v>82</v>
      </c>
      <c r="D207" s="16" t="n">
        <f aca="false">SUMIFS(D$63:D$76, $A$63:$A$76,$A207, $C$63:$C$76, "$ Actual")/D$156</f>
        <v>0.137768699035657</v>
      </c>
      <c r="E207" s="16" t="n">
        <f aca="false">SUMIFS(E$63:E$76, $A$63:$A$76,$A207, $C$63:$C$76, "$ Actual")/E$156</f>
        <v>0.188115611806267</v>
      </c>
      <c r="F207" s="16" t="n">
        <f aca="false">SUMIFS(F$63:F$76, $A$63:$A$76,$A207, $C$63:$C$76, "$ Actual")/F$156</f>
        <v>0.126040922252217</v>
      </c>
      <c r="G207" s="16" t="n">
        <f aca="false">SUMIFS(G$63:G$76, $A$63:$A$76,$A207, $C$63:$C$76, "$ Actual")/G$156</f>
        <v>0.157177990464454</v>
      </c>
      <c r="H207" s="16" t="n">
        <f aca="false">SUMIFS(H$63:H$76, $A$63:$A$76,$A207, $C$63:$C$76, "$ Actual")/H$156</f>
        <v>0.157361321385039</v>
      </c>
      <c r="I207" s="16" t="n">
        <f aca="false">SUMIFS(I$63:I$76, $A$63:$A$76,$A207, $C$63:$C$76, "$ Actual")/I$156</f>
        <v>0.094985475843169</v>
      </c>
      <c r="J207" s="16" t="n">
        <f aca="false">SUMIFS(J$63:J$76, $A$63:$A$76,$A207, $C$63:$C$76, "$ Actual")/J$156</f>
        <v>0.0384089126961685</v>
      </c>
      <c r="K207" s="16" t="n">
        <f aca="false">SUMIFS(K$63:K$76, $A$63:$A$76,$A207, $C$63:$C$76, "$ Actual")/K$156</f>
        <v>0</v>
      </c>
      <c r="L207" s="16" t="n">
        <f aca="false">SUMIFS(L$63:L$76, $A$63:$A$76,$A207, $C$63:$C$76, "$ Actual")/L$156</f>
        <v>0</v>
      </c>
      <c r="M207" s="16" t="e">
        <f aca="false">SUMIFS(M$63:M$76, $A$63:$A$76,$A207, $C$63:$C$76, "$ Actual")/M$156</f>
        <v>#DIV/0!</v>
      </c>
      <c r="N207" s="16"/>
      <c r="O207" s="16" t="n">
        <f aca="false">SUMIFS(O$63:O$76, $A$63:$A$76,$A207, $C$63:$C$76, "$ Actual")/O$156</f>
        <v>0.104354565548124</v>
      </c>
      <c r="P207" s="16" t="n">
        <f aca="false">SUMIFS(P$63:P$76, $A$63:$A$76,$A207, $C$63:$C$76, "$ Actual")/P$156</f>
        <v>0.176879493532101</v>
      </c>
      <c r="Q207" s="16" t="n">
        <f aca="false">SUMIFS(Q$63:Q$76, $A$63:$A$76,$A207, $C$63:$C$76, "$ Actual")/Q$156</f>
        <v>0.207030739221821</v>
      </c>
      <c r="R207" s="16" t="n">
        <f aca="false">SUMIFS(R$63:R$76, $A$63:$A$76,$A207, $C$63:$C$76, "$ Actual")/R$156</f>
        <v>0.279841732156652</v>
      </c>
      <c r="S207" s="16" t="n">
        <f aca="false">SUMIFS(S$63:S$76, $A$63:$A$76,$A207, $C$63:$C$76, "$ Actual")/S$156</f>
        <v>0.182461732768424</v>
      </c>
      <c r="T207" s="16" t="n">
        <f aca="false">SUMIFS(T$63:T$76, $A$63:$A$76,$A207, $C$63:$C$76, "$ Actual")/T$156</f>
        <v>0</v>
      </c>
      <c r="U207" s="16" t="n">
        <f aca="false">SUMIFS(U$63:U$76, $A$63:$A$76,$A207, $C$63:$C$76, "$ Actual")/U$156</f>
        <v>0</v>
      </c>
      <c r="V207" s="16" t="n">
        <f aca="false">SUMIFS(V$63:V$76, $A$63:$A$76,$A207, $C$63:$C$76, "$ Actual")/V$156</f>
        <v>0</v>
      </c>
      <c r="W207" s="16" t="n">
        <f aca="false">SUMIFS(W$63:W$76, $A$63:$A$76,$A207, $C$63:$C$76, "$ Actual")/W$156</f>
        <v>0</v>
      </c>
      <c r="X207" s="16" t="e">
        <f aca="false">SUMIFS(X$63:X$76, $A$63:$A$76,$A207, $C$63:$C$76, "$ Actual")/X$156</f>
        <v>#DIV/0!</v>
      </c>
      <c r="Y207" s="16"/>
      <c r="Z207" s="16" t="e">
        <f aca="false">SUMIFS(Z$63:Z$76, $A$63:$A$76,$A207, $C$63:$C$76, "Actual")/Z$156</f>
        <v>#DIV/0!</v>
      </c>
      <c r="AA207" s="16" t="n">
        <f aca="false">SUMIFS(AA$63:AA$76, $A$63:$A$76,$A207, $C$63:$C$76, "$ Actual")/AA$156</f>
        <v>0.232457551874702</v>
      </c>
      <c r="AB207" s="16" t="n">
        <f aca="false">SUMIFS(AB$63:AB$76, $A$63:$A$76,$A207, $C$63:$C$76, "$ Actual")/AB$156</f>
        <v>0.216261509870284</v>
      </c>
      <c r="AC207" s="16" t="e">
        <f aca="false">SUMIFS(AC$63:AC$76, $A$63:$A$76,$A207, $C$63:$C$76, "Actual")/AC$156</f>
        <v>#DIV/0!</v>
      </c>
      <c r="AD207" s="16" t="n">
        <f aca="false">SUMIFS(AD$63:AD$76, $A$63:$A$76,$A207, $C$63:$C$76, "$ Actual")/AD$156</f>
        <v>0.149336592296956</v>
      </c>
      <c r="AE207" s="16" t="n">
        <f aca="false">SUMIFS(AE$63:AE$76, $A$63:$A$76,$A207, $C$63:$C$76, "$ Actual")/AE$156</f>
        <v>0.184384286984713</v>
      </c>
      <c r="AF207" s="16" t="n">
        <f aca="false">SUMIFS(AF$63:AF$76, $A$63:$A$76,$A207, $C$63:$C$76, "$ Actual")/AF$156</f>
        <v>0.176548995020429</v>
      </c>
      <c r="AG207" s="16" t="n">
        <f aca="false">SUMIFS(AG$63:AG$76, $A$63:$A$76,$A207, $C$63:$C$76, "$ Actual")/AG$156</f>
        <v>0.24072445053961</v>
      </c>
      <c r="AH207" s="16" t="n">
        <f aca="false">SUMIFS(AH$63:AH$76, $A$63:$A$76,$A207, $C$63:$C$76, "$ Actual")/AH$156</f>
        <v>0.184761810376739</v>
      </c>
      <c r="AI207" s="16" t="n">
        <f aca="false">SUMIFS(AI$63:AI$76, $A$63:$A$76,$A207, $C$63:$C$76, "$ Actual")/AI$156</f>
        <v>0.229833416251044</v>
      </c>
      <c r="AJ207" s="16" t="e">
        <f aca="false">SUMIFS(AJ$63:AJ$76, $A$63:$A$76,$A207, $C$63:$C$76, "$ Actual")/AJ$156</f>
        <v>#DIV/0!</v>
      </c>
      <c r="AK207" s="16"/>
      <c r="AL207" s="16" t="n">
        <f aca="false">SUMIFS(AL$63:AL$76, $A$63:$A$76,$A207, $C$63:$C$76, "$ Actual")/AL$156</f>
        <v>0.19260489331715</v>
      </c>
      <c r="AM207" s="16" t="n">
        <f aca="false">SUMIFS(AM$63:AM$76, $A$63:$A$76,$A207, $C$63:$C$76, "$ Actual")/AM$156</f>
        <v>0.0858312334579302</v>
      </c>
      <c r="AN207" s="16" t="n">
        <f aca="false">SUMIFS(AN$63:AN$76, $A$63:$A$76,$A207, $C$63:$C$76, "$ Actual")/AN$156</f>
        <v>0.177101659566955</v>
      </c>
      <c r="AO207" s="16" t="n">
        <f aca="false">SUMIFS(AO$63:AO$76, $A$63:$A$76,$A207, $C$63:$C$76, "$ Actual")/AO$156</f>
        <v>0.197027943702688</v>
      </c>
      <c r="AP207" s="16" t="n">
        <f aca="false">SUMIFS(AP$63:AP$76, $A$63:$A$76,$A207, $C$63:$C$76, "$ Actual")/AP$156</f>
        <v>0.230529757461522</v>
      </c>
      <c r="AQ207" s="16" t="n">
        <f aca="false">SUMIFS(AQ$63:AQ$76, $A$63:$A$76,$A207, $C$63:$C$76, "$ Actual")/AQ$156</f>
        <v>0.277270089897092</v>
      </c>
      <c r="AR207" s="16" t="n">
        <f aca="false">SUMIFS(AR$63:AR$76, $A$63:$A$76,$A207, $C$63:$C$76, "$ Actual")/AR$156</f>
        <v>0.167305197027868</v>
      </c>
      <c r="AS207" s="16" t="n">
        <f aca="false">SUMIFS(AS$63:AS$76, $A$63:$A$76,$A207, $C$63:$C$76, "$ Actual")/AS$156</f>
        <v>0</v>
      </c>
      <c r="AT207" s="16" t="e">
        <f aca="false">SUMIFS(AT$63:AT$76, $A$63:$A$76,$A207, $C$63:$C$76, "$ Actual")/AT$156</f>
        <v>#DIV/0!</v>
      </c>
      <c r="AU207" s="16" t="e">
        <f aca="false">SUMIFS(AU$63:AU$76, $A$63:$A$76,$A207, $C$63:$C$76, "$ Actual")/AU$156</f>
        <v>#DIV/0!</v>
      </c>
      <c r="AV207" s="16"/>
      <c r="AW207" s="16"/>
      <c r="AX207" s="16"/>
      <c r="AY207" s="16" t="n">
        <f aca="false">SUMIFS(AY$63:AY$76, $A$63:$A$76,$A207, $C$63:$C$76, "$ Actual")/AY$156</f>
        <v>0.191641597714138</v>
      </c>
      <c r="AZ207" s="16" t="n">
        <f aca="false">SUMIFS(AZ$63:AZ$76, $A$63:$A$76,$A207, $C$63:$C$76, "$ Actual")/AZ$156</f>
        <v>0.116877481279503</v>
      </c>
      <c r="BA207" s="16" t="n">
        <f aca="false">SUMIFS(BA$63:BA$76, $A$63:$A$76,$A207, $C$63:$C$76, "$ Actual")/BA$156</f>
        <v>0.120168623094128</v>
      </c>
      <c r="BB207" s="16" t="n">
        <f aca="false">SUMIFS(BB$63:BB$76, $A$63:$A$76,$A207, $C$63:$C$76, "$ Actual")/BB$156</f>
        <v>0.224461354457368</v>
      </c>
      <c r="BC207" s="16" t="n">
        <f aca="false">SUMIFS(BC$63:BC$76, $A$63:$A$76,$A207, $C$63:$C$76, "$ Actual")/BC$156</f>
        <v>0.194119705446078</v>
      </c>
      <c r="BD207" s="16"/>
      <c r="BE207" s="16" t="n">
        <f aca="false">SUMIFS(BE$63:BE$76, $A$63:$A$76,$A207, $C$63:$C$76, "$ Actual")/BE$156</f>
        <v>0.157049748676157</v>
      </c>
    </row>
    <row r="208" customFormat="false" ht="12.75" hidden="false" customHeight="true" outlineLevel="0" collapsed="false">
      <c r="A208" s="1" t="s">
        <v>72</v>
      </c>
      <c r="B208" s="1" t="n">
        <v>2023</v>
      </c>
      <c r="C208" s="17" t="s">
        <v>82</v>
      </c>
      <c r="D208" s="16" t="n">
        <f aca="false">SUMIFS(D$63:D$76, $A$63:$A$76,$A208, $C$63:$C$76, "$ Actual")/D$156</f>
        <v>0.0395695318061159</v>
      </c>
      <c r="E208" s="16" t="n">
        <f aca="false">SUMIFS(E$63:E$76, $A$63:$A$76,$A208, $C$63:$C$76, "$ Actual")/E$156</f>
        <v>0.124832412664069</v>
      </c>
      <c r="F208" s="16" t="n">
        <f aca="false">SUMIFS(F$63:F$76, $A$63:$A$76,$A208, $C$63:$C$76, "$ Actual")/F$156</f>
        <v>0.0609770785925006</v>
      </c>
      <c r="G208" s="16" t="n">
        <f aca="false">SUMIFS(G$63:G$76, $A$63:$A$76,$A208, $C$63:$C$76, "$ Actual")/G$156</f>
        <v>0.0689232384623614</v>
      </c>
      <c r="H208" s="16" t="n">
        <f aca="false">SUMIFS(H$63:H$76, $A$63:$A$76,$A208, $C$63:$C$76, "$ Actual")/H$156</f>
        <v>0.0461819463777989</v>
      </c>
      <c r="I208" s="16" t="n">
        <f aca="false">SUMIFS(I$63:I$76, $A$63:$A$76,$A208, $C$63:$C$76, "$ Actual")/I$156</f>
        <v>0.0123095291735065</v>
      </c>
      <c r="J208" s="16" t="n">
        <f aca="false">SUMIFS(J$63:J$76, $A$63:$A$76,$A208, $C$63:$C$76, "$ Actual")/J$156</f>
        <v>0.0157935652661214</v>
      </c>
      <c r="K208" s="16" t="n">
        <f aca="false">SUMIFS(K$63:K$76, $A$63:$A$76,$A208, $C$63:$C$76, "$ Actual")/K$156</f>
        <v>0</v>
      </c>
      <c r="L208" s="16" t="n">
        <f aca="false">SUMIFS(L$63:L$76, $A$63:$A$76,$A208, $C$63:$C$76, "$ Actual")/L$156</f>
        <v>0</v>
      </c>
      <c r="M208" s="16" t="e">
        <f aca="false">SUMIFS(M$63:M$76, $A$63:$A$76,$A208, $C$63:$C$76, "$ Actual")/M$156</f>
        <v>#DIV/0!</v>
      </c>
      <c r="N208" s="16"/>
      <c r="O208" s="16" t="n">
        <f aca="false">SUMIFS(O$63:O$76, $A$63:$A$76,$A208, $C$63:$C$76, "$ Actual")/O$156</f>
        <v>0.0770736683587962</v>
      </c>
      <c r="P208" s="16" t="n">
        <f aca="false">SUMIFS(P$63:P$76, $A$63:$A$76,$A208, $C$63:$C$76, "$ Actual")/P$156</f>
        <v>0.120440542297799</v>
      </c>
      <c r="Q208" s="16" t="n">
        <f aca="false">SUMIFS(Q$63:Q$76, $A$63:$A$76,$A208, $C$63:$C$76, "$ Actual")/Q$156</f>
        <v>0.106088948685113</v>
      </c>
      <c r="R208" s="16" t="n">
        <f aca="false">SUMIFS(R$63:R$76, $A$63:$A$76,$A208, $C$63:$C$76, "$ Actual")/R$156</f>
        <v>0.28655678725559</v>
      </c>
      <c r="S208" s="16" t="n">
        <f aca="false">SUMIFS(S$63:S$76, $A$63:$A$76,$A208, $C$63:$C$76, "$ Actual")/S$156</f>
        <v>0.126731963327865</v>
      </c>
      <c r="T208" s="16" t="n">
        <f aca="false">SUMIFS(T$63:T$76, $A$63:$A$76,$A208, $C$63:$C$76, "$ Actual")/T$156</f>
        <v>0</v>
      </c>
      <c r="U208" s="16" t="n">
        <f aca="false">SUMIFS(U$63:U$76, $A$63:$A$76,$A208, $C$63:$C$76, "$ Actual")/U$156</f>
        <v>0</v>
      </c>
      <c r="V208" s="16" t="n">
        <f aca="false">SUMIFS(V$63:V$76, $A$63:$A$76,$A208, $C$63:$C$76, "$ Actual")/V$156</f>
        <v>0</v>
      </c>
      <c r="W208" s="16" t="n">
        <f aca="false">SUMIFS(W$63:W$76, $A$63:$A$76,$A208, $C$63:$C$76, "$ Actual")/W$156</f>
        <v>0</v>
      </c>
      <c r="X208" s="16" t="e">
        <f aca="false">SUMIFS(X$63:X$76, $A$63:$A$76,$A208, $C$63:$C$76, "$ Actual")/X$156</f>
        <v>#DIV/0!</v>
      </c>
      <c r="Y208" s="16"/>
      <c r="Z208" s="16" t="e">
        <f aca="false">SUMIFS(Z$63:Z$76, $A$63:$A$76,$A208, $C$63:$C$76, "Actual")/Z$156</f>
        <v>#DIV/0!</v>
      </c>
      <c r="AA208" s="16" t="n">
        <f aca="false">SUMIFS(AA$63:AA$76, $A$63:$A$76,$A208, $C$63:$C$76, "$ Actual")/AA$156</f>
        <v>0.0908603291769663</v>
      </c>
      <c r="AB208" s="16" t="n">
        <f aca="false">SUMIFS(AB$63:AB$76, $A$63:$A$76,$A208, $C$63:$C$76, "$ Actual")/AB$156</f>
        <v>0</v>
      </c>
      <c r="AC208" s="16" t="e">
        <f aca="false">SUMIFS(AC$63:AC$76, $A$63:$A$76,$A208, $C$63:$C$76, "Actual")/AC$156</f>
        <v>#DIV/0!</v>
      </c>
      <c r="AD208" s="16" t="n">
        <f aca="false">SUMIFS(AD$63:AD$76, $A$63:$A$76,$A208, $C$63:$C$76, "$ Actual")/AD$156</f>
        <v>0</v>
      </c>
      <c r="AE208" s="16" t="n">
        <f aca="false">SUMIFS(AE$63:AE$76, $A$63:$A$76,$A208, $C$63:$C$76, "$ Actual")/AE$156</f>
        <v>0.028409906398451</v>
      </c>
      <c r="AF208" s="16" t="n">
        <f aca="false">SUMIFS(AF$63:AF$76, $A$63:$A$76,$A208, $C$63:$C$76, "$ Actual")/AF$156</f>
        <v>0.0312597599933559</v>
      </c>
      <c r="AG208" s="16" t="n">
        <f aca="false">SUMIFS(AG$63:AG$76, $A$63:$A$76,$A208, $C$63:$C$76, "$ Actual")/AG$156</f>
        <v>0.0375180532865633</v>
      </c>
      <c r="AH208" s="16" t="n">
        <f aca="false">SUMIFS(AH$63:AH$76, $A$63:$A$76,$A208, $C$63:$C$76, "$ Actual")/AH$156</f>
        <v>0.0181311965708185</v>
      </c>
      <c r="AI208" s="16" t="n">
        <f aca="false">SUMIFS(AI$63:AI$76, $A$63:$A$76,$A208, $C$63:$C$76, "$ Actual")/AI$156</f>
        <v>0.0242386706391959</v>
      </c>
      <c r="AJ208" s="16" t="e">
        <f aca="false">SUMIFS(AJ$63:AJ$76, $A$63:$A$76,$A208, $C$63:$C$76, "$ Actual")/AJ$156</f>
        <v>#DIV/0!</v>
      </c>
      <c r="AK208" s="16"/>
      <c r="AL208" s="16" t="n">
        <f aca="false">SUMIFS(AL$63:AL$76, $A$63:$A$76,$A208, $C$63:$C$76, "$ Actual")/AL$156</f>
        <v>0.0795992730222386</v>
      </c>
      <c r="AM208" s="16" t="n">
        <f aca="false">SUMIFS(AM$63:AM$76, $A$63:$A$76,$A208, $C$63:$C$76, "$ Actual")/AM$156</f>
        <v>0.249055119508921</v>
      </c>
      <c r="AN208" s="16" t="n">
        <f aca="false">SUMIFS(AN$63:AN$76, $A$63:$A$76,$A208, $C$63:$C$76, "$ Actual")/AN$156</f>
        <v>0.0464760753307348</v>
      </c>
      <c r="AO208" s="16" t="n">
        <f aca="false">SUMIFS(AO$63:AO$76, $A$63:$A$76,$A208, $C$63:$C$76, "$ Actual")/AO$156</f>
        <v>0.0610549433924462</v>
      </c>
      <c r="AP208" s="16" t="n">
        <f aca="false">SUMIFS(AP$63:AP$76, $A$63:$A$76,$A208, $C$63:$C$76, "$ Actual")/AP$156</f>
        <v>0.0747158911025259</v>
      </c>
      <c r="AQ208" s="16" t="n">
        <f aca="false">SUMIFS(AQ$63:AQ$76, $A$63:$A$76,$A208, $C$63:$C$76, "$ Actual")/AQ$156</f>
        <v>0.129806481032008</v>
      </c>
      <c r="AR208" s="16" t="n">
        <f aca="false">SUMIFS(AR$63:AR$76, $A$63:$A$76,$A208, $C$63:$C$76, "$ Actual")/AR$156</f>
        <v>0.0273853723716118</v>
      </c>
      <c r="AS208" s="16" t="n">
        <f aca="false">SUMIFS(AS$63:AS$76, $A$63:$A$76,$A208, $C$63:$C$76, "$ Actual")/AS$156</f>
        <v>0</v>
      </c>
      <c r="AT208" s="16" t="e">
        <f aca="false">SUMIFS(AT$63:AT$76, $A$63:$A$76,$A208, $C$63:$C$76, "$ Actual")/AT$156</f>
        <v>#DIV/0!</v>
      </c>
      <c r="AU208" s="16" t="e">
        <f aca="false">SUMIFS(AU$63:AU$76, $A$63:$A$76,$A208, $C$63:$C$76, "$ Actual")/AU$156</f>
        <v>#DIV/0!</v>
      </c>
      <c r="AV208" s="16"/>
      <c r="AW208" s="16"/>
      <c r="AX208" s="16"/>
      <c r="AY208" s="16" t="n">
        <f aca="false">SUMIFS(AY$63:AY$76, $A$63:$A$76,$A208, $C$63:$C$76, "$ Actual")/AY$156</f>
        <v>0.0768624370714969</v>
      </c>
      <c r="AZ208" s="16" t="n">
        <f aca="false">SUMIFS(AZ$63:AZ$76, $A$63:$A$76,$A208, $C$63:$C$76, "$ Actual")/AZ$156</f>
        <v>0.0426653330726033</v>
      </c>
      <c r="BA208" s="16" t="n">
        <f aca="false">SUMIFS(BA$63:BA$76, $A$63:$A$76,$A208, $C$63:$C$76, "$ Actual")/BA$156</f>
        <v>0.0802824823765086</v>
      </c>
      <c r="BB208" s="16" t="n">
        <f aca="false">SUMIFS(BB$63:BB$76, $A$63:$A$76,$A208, $C$63:$C$76, "$ Actual")/BB$156</f>
        <v>0.046001398253916</v>
      </c>
      <c r="BC208" s="16" t="n">
        <f aca="false">SUMIFS(BC$63:BC$76, $A$63:$A$76,$A208, $C$63:$C$76, "$ Actual")/BC$156</f>
        <v>0.0223818285055306</v>
      </c>
      <c r="BD208" s="16"/>
      <c r="BE208" s="16" t="n">
        <f aca="false">SUMIFS(BE$63:BE$76, $A$63:$A$76,$A208, $C$63:$C$76, "$ Actual")/BE$156</f>
        <v>0.0552150528377351</v>
      </c>
    </row>
    <row r="209" customFormat="false" ht="12.75" hidden="false" customHeight="true" outlineLevel="0" collapsed="false">
      <c r="A209" s="1" t="s">
        <v>57</v>
      </c>
      <c r="B209" s="1" t="n">
        <v>2023</v>
      </c>
      <c r="C209" s="17" t="s">
        <v>82</v>
      </c>
      <c r="D209" s="16" t="n">
        <f aca="false">SUMIFS(D$63:D$76, $A$63:$A$76,$A209, $C$63:$C$76, "$ Actual")/D$156</f>
        <v>0.02457586388516</v>
      </c>
      <c r="E209" s="16" t="n">
        <f aca="false">SUMIFS(E$63:E$76, $A$63:$A$76,$A209, $C$63:$C$76, "$ Actual")/E$156</f>
        <v>0</v>
      </c>
      <c r="F209" s="16" t="n">
        <f aca="false">SUMIFS(F$63:F$76, $A$63:$A$76,$A209, $C$63:$C$76, "$ Actual")/F$156</f>
        <v>0</v>
      </c>
      <c r="G209" s="16" t="n">
        <f aca="false">SUMIFS(G$63:G$76, $A$63:$A$76,$A209, $C$63:$C$76, "$ Actual")/G$156</f>
        <v>0.00497158122625559</v>
      </c>
      <c r="H209" s="16" t="n">
        <f aca="false">SUMIFS(H$63:H$76, $A$63:$A$76,$A209, $C$63:$C$76, "$ Actual")/H$156</f>
        <v>0.0300597917419336</v>
      </c>
      <c r="I209" s="16" t="n">
        <f aca="false">SUMIFS(I$63:I$76, $A$63:$A$76,$A209, $C$63:$C$76, "$ Actual")/I$156</f>
        <v>0</v>
      </c>
      <c r="J209" s="16" t="n">
        <f aca="false">SUMIFS(J$63:J$76, $A$63:$A$76,$A209, $C$63:$C$76, "$ Actual")/J$156</f>
        <v>0.00949031745754249</v>
      </c>
      <c r="K209" s="16" t="n">
        <f aca="false">SUMIFS(K$63:K$76, $A$63:$A$76,$A209, $C$63:$C$76, "$ Actual")/K$156</f>
        <v>0</v>
      </c>
      <c r="L209" s="16" t="n">
        <f aca="false">SUMIFS(L$63:L$76, $A$63:$A$76,$A209, $C$63:$C$76, "$ Actual")/L$156</f>
        <v>0</v>
      </c>
      <c r="M209" s="16" t="e">
        <f aca="false">SUMIFS(M$63:M$76, $A$63:$A$76,$A209, $C$63:$C$76, "$ Actual")/M$156</f>
        <v>#DIV/0!</v>
      </c>
      <c r="N209" s="16"/>
      <c r="O209" s="16" t="n">
        <f aca="false">SUMIFS(O$63:O$76, $A$63:$A$76,$A209, $C$63:$C$76, "$ Actual")/O$156</f>
        <v>0.0639715510255454</v>
      </c>
      <c r="P209" s="16" t="n">
        <f aca="false">SUMIFS(P$63:P$76, $A$63:$A$76,$A209, $C$63:$C$76, "$ Actual")/P$156</f>
        <v>0</v>
      </c>
      <c r="Q209" s="16" t="n">
        <f aca="false">SUMIFS(Q$63:Q$76, $A$63:$A$76,$A209, $C$63:$C$76, "$ Actual")/Q$156</f>
        <v>0</v>
      </c>
      <c r="R209" s="16" t="n">
        <f aca="false">SUMIFS(R$63:R$76, $A$63:$A$76,$A209, $C$63:$C$76, "$ Actual")/R$156</f>
        <v>0</v>
      </c>
      <c r="S209" s="16" t="n">
        <f aca="false">SUMIFS(S$63:S$76, $A$63:$A$76,$A209, $C$63:$C$76, "$ Actual")/S$156</f>
        <v>0.0370231062626425</v>
      </c>
      <c r="T209" s="16" t="n">
        <f aca="false">SUMIFS(T$63:T$76, $A$63:$A$76,$A209, $C$63:$C$76, "$ Actual")/T$156</f>
        <v>0</v>
      </c>
      <c r="U209" s="16" t="n">
        <f aca="false">SUMIFS(U$63:U$76, $A$63:$A$76,$A209, $C$63:$C$76, "$ Actual")/U$156</f>
        <v>0</v>
      </c>
      <c r="V209" s="16" t="n">
        <f aca="false">SUMIFS(V$63:V$76, $A$63:$A$76,$A209, $C$63:$C$76, "$ Actual")/V$156</f>
        <v>0</v>
      </c>
      <c r="W209" s="16" t="n">
        <f aca="false">SUMIFS(W$63:W$76, $A$63:$A$76,$A209, $C$63:$C$76, "$ Actual")/W$156</f>
        <v>0</v>
      </c>
      <c r="X209" s="16" t="e">
        <f aca="false">SUMIFS(X$63:X$76, $A$63:$A$76,$A209, $C$63:$C$76, "$ Actual")/X$156</f>
        <v>#DIV/0!</v>
      </c>
      <c r="Y209" s="16"/>
      <c r="Z209" s="16" t="e">
        <f aca="false">SUMIFS(Z$63:Z$76, $A$63:$A$76,$A209, $C$63:$C$76, "Actual")/Z$156</f>
        <v>#DIV/0!</v>
      </c>
      <c r="AA209" s="16" t="n">
        <f aca="false">SUMIFS(AA$63:AA$76, $A$63:$A$76,$A209, $C$63:$C$76, "$ Actual")/AA$156</f>
        <v>0</v>
      </c>
      <c r="AB209" s="16" t="n">
        <f aca="false">SUMIFS(AB$63:AB$76, $A$63:$A$76,$A209, $C$63:$C$76, "$ Actual")/AB$156</f>
        <v>0.220088380823983</v>
      </c>
      <c r="AC209" s="16" t="e">
        <f aca="false">SUMIFS(AC$63:AC$76, $A$63:$A$76,$A209, $C$63:$C$76, "Actual")/AC$156</f>
        <v>#DIV/0!</v>
      </c>
      <c r="AD209" s="16" t="n">
        <f aca="false">SUMIFS(AD$63:AD$76, $A$63:$A$76,$A209, $C$63:$C$76, "$ Actual")/AD$156</f>
        <v>0.044378118508885</v>
      </c>
      <c r="AE209" s="16" t="n">
        <f aca="false">SUMIFS(AE$63:AE$76, $A$63:$A$76,$A209, $C$63:$C$76, "$ Actual")/AE$156</f>
        <v>0.0642509835761082</v>
      </c>
      <c r="AF209" s="16" t="n">
        <f aca="false">SUMIFS(AF$63:AF$76, $A$63:$A$76,$A209, $C$63:$C$76, "$ Actual")/AF$156</f>
        <v>0.0752582486931113</v>
      </c>
      <c r="AG209" s="16" t="n">
        <f aca="false">SUMIFS(AG$63:AG$76, $A$63:$A$76,$A209, $C$63:$C$76, "$ Actual")/AG$156</f>
        <v>0</v>
      </c>
      <c r="AH209" s="16" t="n">
        <f aca="false">SUMIFS(AH$63:AH$76, $A$63:$A$76,$A209, $C$63:$C$76, "$ Actual")/AH$156</f>
        <v>0</v>
      </c>
      <c r="AI209" s="16" t="n">
        <f aca="false">SUMIFS(AI$63:AI$76, $A$63:$A$76,$A209, $C$63:$C$76, "$ Actual")/AI$156</f>
        <v>0</v>
      </c>
      <c r="AJ209" s="16" t="e">
        <f aca="false">SUMIFS(AJ$63:AJ$76, $A$63:$A$76,$A209, $C$63:$C$76, "$ Actual")/AJ$156</f>
        <v>#DIV/0!</v>
      </c>
      <c r="AK209" s="16"/>
      <c r="AL209" s="16" t="n">
        <f aca="false">SUMIFS(AL$63:AL$76, $A$63:$A$76,$A209, $C$63:$C$76, "$ Actual")/AL$156</f>
        <v>0.00728039872131745</v>
      </c>
      <c r="AM209" s="16" t="n">
        <f aca="false">SUMIFS(AM$63:AM$76, $A$63:$A$76,$A209, $C$63:$C$76, "$ Actual")/AM$156</f>
        <v>0.0748327078115365</v>
      </c>
      <c r="AN209" s="16" t="n">
        <f aca="false">SUMIFS(AN$63:AN$76, $A$63:$A$76,$A209, $C$63:$C$76, "$ Actual")/AN$156</f>
        <v>0</v>
      </c>
      <c r="AO209" s="16" t="n">
        <f aca="false">SUMIFS(AO$63:AO$76, $A$63:$A$76,$A209, $C$63:$C$76, "$ Actual")/AO$156</f>
        <v>0</v>
      </c>
      <c r="AP209" s="16" t="n">
        <f aca="false">SUMIFS(AP$63:AP$76, $A$63:$A$76,$A209, $C$63:$C$76, "$ Actual")/AP$156</f>
        <v>0</v>
      </c>
      <c r="AQ209" s="16" t="n">
        <f aca="false">SUMIFS(AQ$63:AQ$76, $A$63:$A$76,$A209, $C$63:$C$76, "$ Actual")/AQ$156</f>
        <v>0.0199493315466002</v>
      </c>
      <c r="AR209" s="16" t="n">
        <f aca="false">SUMIFS(AR$63:AR$76, $A$63:$A$76,$A209, $C$63:$C$76, "$ Actual")/AR$156</f>
        <v>0</v>
      </c>
      <c r="AS209" s="16" t="n">
        <f aca="false">SUMIFS(AS$63:AS$76, $A$63:$A$76,$A209, $C$63:$C$76, "$ Actual")/AS$156</f>
        <v>0</v>
      </c>
      <c r="AT209" s="16" t="e">
        <f aca="false">SUMIFS(AT$63:AT$76, $A$63:$A$76,$A209, $C$63:$C$76, "$ Actual")/AT$156</f>
        <v>#DIV/0!</v>
      </c>
      <c r="AU209" s="16" t="e">
        <f aca="false">SUMIFS(AU$63:AU$76, $A$63:$A$76,$A209, $C$63:$C$76, "$ Actual")/AU$156</f>
        <v>#DIV/0!</v>
      </c>
      <c r="AV209" s="16"/>
      <c r="AW209" s="16"/>
      <c r="AX209" s="16"/>
      <c r="AY209" s="16" t="n">
        <f aca="false">SUMIFS(AY$63:AY$76, $A$63:$A$76,$A209, $C$63:$C$76, "$ Actual")/AY$156</f>
        <v>0.00795924267927513</v>
      </c>
      <c r="AZ209" s="16" t="n">
        <f aca="false">SUMIFS(AZ$63:AZ$76, $A$63:$A$76,$A209, $C$63:$C$76, "$ Actual")/AZ$156</f>
        <v>0.010340892374784</v>
      </c>
      <c r="BA209" s="16" t="n">
        <f aca="false">SUMIFS(BA$63:BA$76, $A$63:$A$76,$A209, $C$63:$C$76, "$ Actual")/BA$156</f>
        <v>0.0140051200259335</v>
      </c>
      <c r="BB209" s="16" t="n">
        <f aca="false">SUMIFS(BB$63:BB$76, $A$63:$A$76,$A209, $C$63:$C$76, "$ Actual")/BB$156</f>
        <v>0.108660507415946</v>
      </c>
      <c r="BC209" s="16" t="n">
        <f aca="false">SUMIFS(BC$63:BC$76, $A$63:$A$76,$A209, $C$63:$C$76, "$ Actual")/BC$156</f>
        <v>0.0269954732864795</v>
      </c>
      <c r="BD209" s="16"/>
      <c r="BE209" s="16" t="n">
        <f aca="false">SUMIFS(BE$63:BE$76, $A$63:$A$76,$A209, $C$63:$C$76, "$ Actual")/BE$156</f>
        <v>0.0166315479854168</v>
      </c>
    </row>
    <row r="210" customFormat="false" ht="12.75" hidden="false" customHeight="true" outlineLevel="0" collapsed="false">
      <c r="A210" s="1" t="s">
        <v>58</v>
      </c>
      <c r="B210" s="1" t="n">
        <v>2023</v>
      </c>
      <c r="C210" s="17" t="s">
        <v>82</v>
      </c>
      <c r="D210" s="16" t="n">
        <f aca="false">SUMIFS(D$63:D$76, $A$63:$A$76,$A210, $C$63:$C$76, "$ Actual")/D$156</f>
        <v>0.055865590961033</v>
      </c>
      <c r="E210" s="16" t="n">
        <f aca="false">SUMIFS(E$63:E$76, $A$63:$A$76,$A210, $C$63:$C$76, "$ Actual")/E$156</f>
        <v>0</v>
      </c>
      <c r="F210" s="16" t="n">
        <f aca="false">SUMIFS(F$63:F$76, $A$63:$A$76,$A210, $C$63:$C$76, "$ Actual")/F$156</f>
        <v>0.0403942231565153</v>
      </c>
      <c r="G210" s="16" t="n">
        <f aca="false">SUMIFS(G$63:G$76, $A$63:$A$76,$A210, $C$63:$C$76, "$ Actual")/G$156</f>
        <v>0</v>
      </c>
      <c r="H210" s="16" t="n">
        <f aca="false">SUMIFS(H$63:H$76, $A$63:$A$76,$A210, $C$63:$C$76, "$ Actual")/H$156</f>
        <v>0</v>
      </c>
      <c r="I210" s="16" t="n">
        <f aca="false">SUMIFS(I$63:I$76, $A$63:$A$76,$A210, $C$63:$C$76, "$ Actual")/I$156</f>
        <v>0.0252152927629004</v>
      </c>
      <c r="J210" s="16" t="n">
        <f aca="false">SUMIFS(J$63:J$76, $A$63:$A$76,$A210, $C$63:$C$76, "$ Actual")/J$156</f>
        <v>0.0280619630110021</v>
      </c>
      <c r="K210" s="16" t="n">
        <f aca="false">SUMIFS(K$63:K$76, $A$63:$A$76,$A210, $C$63:$C$76, "$ Actual")/K$156</f>
        <v>0</v>
      </c>
      <c r="L210" s="16" t="n">
        <f aca="false">SUMIFS(L$63:L$76, $A$63:$A$76,$A210, $C$63:$C$76, "$ Actual")/L$156</f>
        <v>0</v>
      </c>
      <c r="M210" s="16" t="e">
        <f aca="false">SUMIFS(M$63:M$76, $A$63:$A$76,$A210, $C$63:$C$76, "$ Actual")/M$156</f>
        <v>#DIV/0!</v>
      </c>
      <c r="N210" s="16"/>
      <c r="O210" s="16" t="n">
        <f aca="false">SUMIFS(O$63:O$76, $A$63:$A$76,$A210, $C$63:$C$76, "$ Actual")/O$156</f>
        <v>0</v>
      </c>
      <c r="P210" s="16" t="n">
        <f aca="false">SUMIFS(P$63:P$76, $A$63:$A$76,$A210, $C$63:$C$76, "$ Actual")/P$156</f>
        <v>0.0665749017697484</v>
      </c>
      <c r="Q210" s="16" t="n">
        <f aca="false">SUMIFS(Q$63:Q$76, $A$63:$A$76,$A210, $C$63:$C$76, "$ Actual")/Q$156</f>
        <v>0</v>
      </c>
      <c r="R210" s="16" t="n">
        <f aca="false">SUMIFS(R$63:R$76, $A$63:$A$76,$A210, $C$63:$C$76, "$ Actual")/R$156</f>
        <v>0</v>
      </c>
      <c r="S210" s="16" t="n">
        <f aca="false">SUMIFS(S$63:S$76, $A$63:$A$76,$A210, $C$63:$C$76, "$ Actual")/S$156</f>
        <v>0</v>
      </c>
      <c r="T210" s="16" t="n">
        <f aca="false">SUMIFS(T$63:T$76, $A$63:$A$76,$A210, $C$63:$C$76, "$ Actual")/T$156</f>
        <v>0</v>
      </c>
      <c r="U210" s="16" t="n">
        <f aca="false">SUMIFS(U$63:U$76, $A$63:$A$76,$A210, $C$63:$C$76, "$ Actual")/U$156</f>
        <v>0</v>
      </c>
      <c r="V210" s="16" t="n">
        <f aca="false">SUMIFS(V$63:V$76, $A$63:$A$76,$A210, $C$63:$C$76, "$ Actual")/V$156</f>
        <v>0</v>
      </c>
      <c r="W210" s="16" t="n">
        <f aca="false">SUMIFS(W$63:W$76, $A$63:$A$76,$A210, $C$63:$C$76, "$ Actual")/W$156</f>
        <v>0</v>
      </c>
      <c r="X210" s="16" t="e">
        <f aca="false">SUMIFS(X$63:X$76, $A$63:$A$76,$A210, $C$63:$C$76, "$ Actual")/X$156</f>
        <v>#DIV/0!</v>
      </c>
      <c r="Y210" s="16"/>
      <c r="Z210" s="16" t="e">
        <f aca="false">SUMIFS(Z$63:Z$76, $A$63:$A$76,$A210, $C$63:$C$76, "Actual")/Z$156</f>
        <v>#DIV/0!</v>
      </c>
      <c r="AA210" s="16" t="n">
        <f aca="false">SUMIFS(AA$63:AA$76, $A$63:$A$76,$A210, $C$63:$C$76, "$ Actual")/AA$156</f>
        <v>0</v>
      </c>
      <c r="AB210" s="16" t="n">
        <f aca="false">SUMIFS(AB$63:AB$76, $A$63:$A$76,$A210, $C$63:$C$76, "$ Actual")/AB$156</f>
        <v>0.0311181953085137</v>
      </c>
      <c r="AC210" s="16" t="e">
        <f aca="false">SUMIFS(AC$63:AC$76, $A$63:$A$76,$A210, $C$63:$C$76, "Actual")/AC$156</f>
        <v>#DIV/0!</v>
      </c>
      <c r="AD210" s="16" t="n">
        <f aca="false">SUMIFS(AD$63:AD$76, $A$63:$A$76,$A210, $C$63:$C$76, "$ Actual")/AD$156</f>
        <v>0.0368169743915112</v>
      </c>
      <c r="AE210" s="16" t="n">
        <f aca="false">SUMIFS(AE$63:AE$76, $A$63:$A$76,$A210, $C$63:$C$76, "$ Actual")/AE$156</f>
        <v>0.00724666231397888</v>
      </c>
      <c r="AF210" s="16" t="n">
        <f aca="false">SUMIFS(AF$63:AF$76, $A$63:$A$76,$A210, $C$63:$C$76, "$ Actual")/AF$156</f>
        <v>0.0406498240130636</v>
      </c>
      <c r="AG210" s="16" t="n">
        <f aca="false">SUMIFS(AG$63:AG$76, $A$63:$A$76,$A210, $C$63:$C$76, "$ Actual")/AG$156</f>
        <v>0.0327368286641165</v>
      </c>
      <c r="AH210" s="16" t="n">
        <f aca="false">SUMIFS(AH$63:AH$76, $A$63:$A$76,$A210, $C$63:$C$76, "$ Actual")/AH$156</f>
        <v>0.0144700882211865</v>
      </c>
      <c r="AI210" s="16" t="n">
        <f aca="false">SUMIFS(AI$63:AI$76, $A$63:$A$76,$A210, $C$63:$C$76, "$ Actual")/AI$156</f>
        <v>0.024660216007217</v>
      </c>
      <c r="AJ210" s="16" t="e">
        <f aca="false">SUMIFS(AJ$63:AJ$76, $A$63:$A$76,$A210, $C$63:$C$76, "$ Actual")/AJ$156</f>
        <v>#DIV/0!</v>
      </c>
      <c r="AK210" s="16"/>
      <c r="AL210" s="16" t="n">
        <f aca="false">SUMIFS(AL$63:AL$76, $A$63:$A$76,$A210, $C$63:$C$76, "$ Actual")/AL$156</f>
        <v>0</v>
      </c>
      <c r="AM210" s="16" t="n">
        <f aca="false">SUMIFS(AM$63:AM$76, $A$63:$A$76,$A210, $C$63:$C$76, "$ Actual")/AM$156</f>
        <v>0</v>
      </c>
      <c r="AN210" s="16" t="n">
        <f aca="false">SUMIFS(AN$63:AN$76, $A$63:$A$76,$A210, $C$63:$C$76, "$ Actual")/AN$156</f>
        <v>0</v>
      </c>
      <c r="AO210" s="16" t="n">
        <f aca="false">SUMIFS(AO$63:AO$76, $A$63:$A$76,$A210, $C$63:$C$76, "$ Actual")/AO$156</f>
        <v>0</v>
      </c>
      <c r="AP210" s="16" t="n">
        <f aca="false">SUMIFS(AP$63:AP$76, $A$63:$A$76,$A210, $C$63:$C$76, "$ Actual")/AP$156</f>
        <v>0</v>
      </c>
      <c r="AQ210" s="16" t="n">
        <f aca="false">SUMIFS(AQ$63:AQ$76, $A$63:$A$76,$A210, $C$63:$C$76, "$ Actual")/AQ$156</f>
        <v>0</v>
      </c>
      <c r="AR210" s="16" t="n">
        <f aca="false">SUMIFS(AR$63:AR$76, $A$63:$A$76,$A210, $C$63:$C$76, "$ Actual")/AR$156</f>
        <v>0</v>
      </c>
      <c r="AS210" s="16" t="n">
        <f aca="false">SUMIFS(AS$63:AS$76, $A$63:$A$76,$A210, $C$63:$C$76, "$ Actual")/AS$156</f>
        <v>0</v>
      </c>
      <c r="AT210" s="16" t="e">
        <f aca="false">SUMIFS(AT$63:AT$76, $A$63:$A$76,$A210, $C$63:$C$76, "$ Actual")/AT$156</f>
        <v>#DIV/0!</v>
      </c>
      <c r="AU210" s="16" t="e">
        <f aca="false">SUMIFS(AU$63:AU$76, $A$63:$A$76,$A210, $C$63:$C$76, "$ Actual")/AU$156</f>
        <v>#DIV/0!</v>
      </c>
      <c r="AV210" s="16"/>
      <c r="AW210" s="16"/>
      <c r="AX210" s="16"/>
      <c r="AY210" s="16" t="n">
        <f aca="false">SUMIFS(AY$63:AY$76, $A$63:$A$76,$A210, $C$63:$C$76, "$ Actual")/AY$156</f>
        <v>0</v>
      </c>
      <c r="AZ210" s="16" t="n">
        <f aca="false">SUMIFS(AZ$63:AZ$76, $A$63:$A$76,$A210, $C$63:$C$76, "$ Actual")/AZ$156</f>
        <v>0.0226990040099723</v>
      </c>
      <c r="BA210" s="16" t="n">
        <f aca="false">SUMIFS(BA$63:BA$76, $A$63:$A$76,$A210, $C$63:$C$76, "$ Actual")/BA$156</f>
        <v>0.00964733397808114</v>
      </c>
      <c r="BB210" s="16" t="n">
        <f aca="false">SUMIFS(BB$63:BB$76, $A$63:$A$76,$A210, $C$63:$C$76, "$ Actual")/BB$156</f>
        <v>0.015363459349523</v>
      </c>
      <c r="BC210" s="16" t="n">
        <f aca="false">SUMIFS(BC$63:BC$76, $A$63:$A$76,$A210, $C$63:$C$76, "$ Actual")/BC$156</f>
        <v>0.0242716795245285</v>
      </c>
      <c r="BD210" s="16"/>
      <c r="BE210" s="16" t="n">
        <f aca="false">SUMIFS(BE$63:BE$76, $A$63:$A$76,$A210, $C$63:$C$76, "$ Actual")/BE$156</f>
        <v>0.0142177516930846</v>
      </c>
    </row>
    <row r="211" customFormat="false" ht="12.75" hidden="false" customHeight="true" outlineLevel="0" collapsed="false">
      <c r="A211" s="1" t="s">
        <v>59</v>
      </c>
      <c r="B211" s="1" t="n">
        <v>2023</v>
      </c>
      <c r="C211" s="17" t="s">
        <v>82</v>
      </c>
      <c r="D211" s="16" t="n">
        <f aca="false">SUMIFS(D$63:D$76, $A$63:$A$76,$A211, $C$63:$C$76, "$ Actual")/D$156</f>
        <v>0.27946296370403</v>
      </c>
      <c r="E211" s="16" t="n">
        <f aca="false">SUMIFS(E$63:E$76, $A$63:$A$76,$A211, $C$63:$C$76, "$ Actual")/E$156</f>
        <v>0.258872028567873</v>
      </c>
      <c r="F211" s="16" t="n">
        <f aca="false">SUMIFS(F$63:F$76, $A$63:$A$76,$A211, $C$63:$C$76, "$ Actual")/F$156</f>
        <v>0.136513819811689</v>
      </c>
      <c r="G211" s="16" t="n">
        <f aca="false">SUMIFS(G$63:G$76, $A$63:$A$76,$A211, $C$63:$C$76, "$ Actual")/G$156</f>
        <v>0.249669273733206</v>
      </c>
      <c r="H211" s="16" t="n">
        <f aca="false">SUMIFS(H$63:H$76, $A$63:$A$76,$A211, $C$63:$C$76, "$ Actual")/H$156</f>
        <v>0.185411662985006</v>
      </c>
      <c r="I211" s="16" t="n">
        <f aca="false">SUMIFS(I$63:I$76, $A$63:$A$76,$A211, $C$63:$C$76, "$ Actual")/I$156</f>
        <v>0.172825514709705</v>
      </c>
      <c r="J211" s="16" t="n">
        <f aca="false">SUMIFS(J$63:J$76, $A$63:$A$76,$A211, $C$63:$C$76, "$ Actual")/J$156</f>
        <v>0.188445296710555</v>
      </c>
      <c r="K211" s="16" t="n">
        <f aca="false">SUMIFS(K$63:K$76, $A$63:$A$76,$A211, $C$63:$C$76, "$ Actual")/K$156</f>
        <v>0</v>
      </c>
      <c r="L211" s="16" t="n">
        <f aca="false">SUMIFS(L$63:L$76, $A$63:$A$76,$A211, $C$63:$C$76, "$ Actual")/L$156</f>
        <v>0</v>
      </c>
      <c r="M211" s="16" t="e">
        <f aca="false">SUMIFS(M$63:M$76, $A$63:$A$76,$A211, $C$63:$C$76, "$ Actual")/M$156</f>
        <v>#DIV/0!</v>
      </c>
      <c r="N211" s="16"/>
      <c r="O211" s="16" t="n">
        <f aca="false">SUMIFS(O$63:O$76, $A$63:$A$76,$A211, $C$63:$C$76, "$ Actual")/O$156</f>
        <v>0.277104139939631</v>
      </c>
      <c r="P211" s="16" t="n">
        <f aca="false">SUMIFS(P$63:P$76, $A$63:$A$76,$A211, $C$63:$C$76, "$ Actual")/P$156</f>
        <v>0.242694481075924</v>
      </c>
      <c r="Q211" s="16" t="n">
        <f aca="false">SUMIFS(Q$63:Q$76, $A$63:$A$76,$A211, $C$63:$C$76, "$ Actual")/Q$156</f>
        <v>0.187317900040988</v>
      </c>
      <c r="R211" s="16" t="n">
        <f aca="false">SUMIFS(R$63:R$76, $A$63:$A$76,$A211, $C$63:$C$76, "$ Actual")/R$156</f>
        <v>0.29172819859093</v>
      </c>
      <c r="S211" s="16" t="n">
        <f aca="false">SUMIFS(S$63:S$76, $A$63:$A$76,$A211, $C$63:$C$76, "$ Actual")/S$156</f>
        <v>0.228497388469009</v>
      </c>
      <c r="T211" s="16" t="n">
        <f aca="false">SUMIFS(T$63:T$76, $A$63:$A$76,$A211, $C$63:$C$76, "$ Actual")/T$156</f>
        <v>0</v>
      </c>
      <c r="U211" s="16" t="n">
        <f aca="false">SUMIFS(U$63:U$76, $A$63:$A$76,$A211, $C$63:$C$76, "$ Actual")/U$156</f>
        <v>0</v>
      </c>
      <c r="V211" s="16" t="n">
        <f aca="false">SUMIFS(V$63:V$76, $A$63:$A$76,$A211, $C$63:$C$76, "$ Actual")/V$156</f>
        <v>0</v>
      </c>
      <c r="W211" s="16" t="n">
        <f aca="false">SUMIFS(W$63:W$76, $A$63:$A$76,$A211, $C$63:$C$76, "$ Actual")/W$156</f>
        <v>0</v>
      </c>
      <c r="X211" s="16" t="e">
        <f aca="false">SUMIFS(X$63:X$76, $A$63:$A$76,$A211, $C$63:$C$76, "$ Actual")/X$156</f>
        <v>#DIV/0!</v>
      </c>
      <c r="Y211" s="16"/>
      <c r="Z211" s="16" t="e">
        <f aca="false">SUMIFS(Z$63:Z$76, $A$63:$A$76,$A211, $C$63:$C$76, "Actual")/Z$156</f>
        <v>#DIV/0!</v>
      </c>
      <c r="AA211" s="16" t="n">
        <f aca="false">SUMIFS(AA$63:AA$76, $A$63:$A$76,$A211, $C$63:$C$76, "$ Actual")/AA$156</f>
        <v>0.167618834589069</v>
      </c>
      <c r="AB211" s="16" t="n">
        <f aca="false">SUMIFS(AB$63:AB$76, $A$63:$A$76,$A211, $C$63:$C$76, "$ Actual")/AB$156</f>
        <v>0.305573110009472</v>
      </c>
      <c r="AC211" s="16" t="e">
        <f aca="false">SUMIFS(AC$63:AC$76, $A$63:$A$76,$A211, $C$63:$C$76, "Actual")/AC$156</f>
        <v>#DIV/0!</v>
      </c>
      <c r="AD211" s="16" t="n">
        <f aca="false">SUMIFS(AD$63:AD$76, $A$63:$A$76,$A211, $C$63:$C$76, "$ Actual")/AD$156</f>
        <v>0.195776259786387</v>
      </c>
      <c r="AE211" s="16" t="n">
        <f aca="false">SUMIFS(AE$63:AE$76, $A$63:$A$76,$A211, $C$63:$C$76, "$ Actual")/AE$156</f>
        <v>0.194580094614675</v>
      </c>
      <c r="AF211" s="16" t="n">
        <f aca="false">SUMIFS(AF$63:AF$76, $A$63:$A$76,$A211, $C$63:$C$76, "$ Actual")/AF$156</f>
        <v>0.0914345421005904</v>
      </c>
      <c r="AG211" s="16" t="n">
        <f aca="false">SUMIFS(AG$63:AG$76, $A$63:$A$76,$A211, $C$63:$C$76, "$ Actual")/AG$156</f>
        <v>0.280398476532296</v>
      </c>
      <c r="AH211" s="16" t="n">
        <f aca="false">SUMIFS(AH$63:AH$76, $A$63:$A$76,$A211, $C$63:$C$76, "$ Actual")/AH$156</f>
        <v>0.211947164708044</v>
      </c>
      <c r="AI211" s="16" t="n">
        <f aca="false">SUMIFS(AI$63:AI$76, $A$63:$A$76,$A211, $C$63:$C$76, "$ Actual")/AI$156</f>
        <v>0.216743887310131</v>
      </c>
      <c r="AJ211" s="16" t="e">
        <f aca="false">SUMIFS(AJ$63:AJ$76, $A$63:$A$76,$A211, $C$63:$C$76, "$ Actual")/AJ$156</f>
        <v>#DIV/0!</v>
      </c>
      <c r="AK211" s="16"/>
      <c r="AL211" s="16" t="n">
        <f aca="false">SUMIFS(AL$63:AL$76, $A$63:$A$76,$A211, $C$63:$C$76, "$ Actual")/AL$156</f>
        <v>0.458030323015051</v>
      </c>
      <c r="AM211" s="16" t="n">
        <f aca="false">SUMIFS(AM$63:AM$76, $A$63:$A$76,$A211, $C$63:$C$76, "$ Actual")/AM$156</f>
        <v>0.673498938008633</v>
      </c>
      <c r="AN211" s="16" t="n">
        <f aca="false">SUMIFS(AN$63:AN$76, $A$63:$A$76,$A211, $C$63:$C$76, "$ Actual")/AN$156</f>
        <v>0.314171879047082</v>
      </c>
      <c r="AO211" s="16" t="n">
        <f aca="false">SUMIFS(AO$63:AO$76, $A$63:$A$76,$A211, $C$63:$C$76, "$ Actual")/AO$156</f>
        <v>0.246216920575649</v>
      </c>
      <c r="AP211" s="16" t="n">
        <f aca="false">SUMIFS(AP$63:AP$76, $A$63:$A$76,$A211, $C$63:$C$76, "$ Actual")/AP$156</f>
        <v>0.321488424105694</v>
      </c>
      <c r="AQ211" s="16" t="n">
        <f aca="false">SUMIFS(AQ$63:AQ$76, $A$63:$A$76,$A211, $C$63:$C$76, "$ Actual")/AQ$156</f>
        <v>0.38029278543287</v>
      </c>
      <c r="AR211" s="16" t="n">
        <f aca="false">SUMIFS(AR$63:AR$76, $A$63:$A$76,$A211, $C$63:$C$76, "$ Actual")/AR$156</f>
        <v>0.118148262705632</v>
      </c>
      <c r="AS211" s="16" t="n">
        <f aca="false">SUMIFS(AS$63:AS$76, $A$63:$A$76,$A211, $C$63:$C$76, "$ Actual")/AS$156</f>
        <v>0</v>
      </c>
      <c r="AT211" s="16" t="e">
        <f aca="false">SUMIFS(AT$63:AT$76, $A$63:$A$76,$A211, $C$63:$C$76, "$ Actual")/AT$156</f>
        <v>#DIV/0!</v>
      </c>
      <c r="AU211" s="16" t="e">
        <f aca="false">SUMIFS(AU$63:AU$76, $A$63:$A$76,$A211, $C$63:$C$76, "$ Actual")/AU$156</f>
        <v>#DIV/0!</v>
      </c>
      <c r="AV211" s="16"/>
      <c r="AW211" s="16"/>
      <c r="AX211" s="16"/>
      <c r="AY211" s="16" t="n">
        <f aca="false">SUMIFS(AY$63:AY$76, $A$63:$A$76,$A211, $C$63:$C$76, "$ Actual")/AY$156</f>
        <v>0.310608008746476</v>
      </c>
      <c r="AZ211" s="16" t="n">
        <f aca="false">SUMIFS(AZ$63:AZ$76, $A$63:$A$76,$A211, $C$63:$C$76, "$ Actual")/AZ$156</f>
        <v>0.205234600144229</v>
      </c>
      <c r="BA211" s="16" t="n">
        <f aca="false">SUMIFS(BA$63:BA$76, $A$63:$A$76,$A211, $C$63:$C$76, "$ Actual")/BA$156</f>
        <v>0.157117045064897</v>
      </c>
      <c r="BB211" s="16" t="n">
        <f aca="false">SUMIFS(BB$63:BB$76, $A$63:$A$76,$A211, $C$63:$C$76, "$ Actual")/BB$156</f>
        <v>0.235728661701517</v>
      </c>
      <c r="BC211" s="16" t="n">
        <f aca="false">SUMIFS(BC$63:BC$76, $A$63:$A$76,$A211, $C$63:$C$76, "$ Actual")/BC$156</f>
        <v>0.20461971267725</v>
      </c>
      <c r="BD211" s="16"/>
      <c r="BE211" s="16" t="n">
        <f aca="false">SUMIFS(BE$63:BE$76, $A$63:$A$76,$A211, $C$63:$C$76, "$ Actual")/BE$156</f>
        <v>0.220224647526162</v>
      </c>
    </row>
    <row r="212" customFormat="false" ht="12.75" hidden="false" customHeight="true" outlineLevel="0" collapsed="false">
      <c r="C212" s="17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</row>
    <row r="213" customFormat="false" ht="12.75" hidden="false" customHeight="true" outlineLevel="0" collapsed="false">
      <c r="A213" s="1" t="s">
        <v>83</v>
      </c>
      <c r="B213" s="1" t="n">
        <v>2023</v>
      </c>
      <c r="C213" s="17" t="s">
        <v>84</v>
      </c>
      <c r="D213" s="18" t="n">
        <f aca="false">D64/260000</f>
        <v>4.63469230769231</v>
      </c>
      <c r="E213" s="18" t="n">
        <f aca="false">E64/260000</f>
        <v>1.566</v>
      </c>
      <c r="F213" s="18" t="n">
        <f aca="false">F64/260000</f>
        <v>1.38209230769231</v>
      </c>
      <c r="G213" s="18" t="n">
        <f aca="false">G64/260000</f>
        <v>3.72187692307692</v>
      </c>
      <c r="H213" s="18" t="n">
        <f aca="false">H64/260000</f>
        <v>3.32108076923077</v>
      </c>
      <c r="I213" s="18" t="n">
        <f aca="false">I64/260000</f>
        <v>3.20687307692308</v>
      </c>
      <c r="J213" s="18" t="n">
        <f aca="false">J64/260000</f>
        <v>0.988742307692308</v>
      </c>
      <c r="K213" s="18"/>
      <c r="L213" s="18" t="n">
        <f aca="false">L64/260000</f>
        <v>0</v>
      </c>
      <c r="M213" s="18"/>
      <c r="N213" s="18"/>
      <c r="O213" s="18" t="n">
        <f aca="false">O64/260000</f>
        <v>3.36018076923077</v>
      </c>
      <c r="P213" s="18" t="n">
        <f aca="false">P64/260000</f>
        <v>2.83773461538462</v>
      </c>
      <c r="Q213" s="18" t="n">
        <f aca="false">Q64/260000</f>
        <v>6.14688076923077</v>
      </c>
      <c r="R213" s="18" t="n">
        <f aca="false">R64/260000</f>
        <v>0</v>
      </c>
      <c r="S213" s="18" t="n">
        <f aca="false">S64/260000</f>
        <v>1.38881923076923</v>
      </c>
      <c r="T213" s="18" t="n">
        <f aca="false">T64/260000</f>
        <v>0</v>
      </c>
      <c r="U213" s="18" t="n">
        <f aca="false">U64/260000</f>
        <v>0</v>
      </c>
      <c r="V213" s="18" t="n">
        <f aca="false">V64/260000</f>
        <v>0</v>
      </c>
      <c r="W213" s="18" t="n">
        <f aca="false">W64/260000</f>
        <v>0</v>
      </c>
      <c r="X213" s="18"/>
      <c r="Y213" s="18"/>
      <c r="Z213" s="18" t="n">
        <f aca="false">Z64/260000</f>
        <v>0</v>
      </c>
      <c r="AA213" s="18" t="n">
        <f aca="false">AA64/260000</f>
        <v>1.28216923076923</v>
      </c>
      <c r="AB213" s="18" t="n">
        <f aca="false">AB64/260000</f>
        <v>0</v>
      </c>
      <c r="AC213" s="18" t="n">
        <f aca="false">AC64/260000</f>
        <v>0</v>
      </c>
      <c r="AD213" s="18" t="n">
        <f aca="false">AD64/260000</f>
        <v>6.99252692307692</v>
      </c>
      <c r="AE213" s="18" t="n">
        <f aca="false">AE64/260000</f>
        <v>4.15066923076923</v>
      </c>
      <c r="AF213" s="18" t="n">
        <f aca="false">AF64/260000</f>
        <v>3.59808461538462</v>
      </c>
      <c r="AG213" s="18" t="n">
        <f aca="false">AG64/260000</f>
        <v>3.46759230769231</v>
      </c>
      <c r="AH213" s="18" t="n">
        <f aca="false">AH64/260000</f>
        <v>5.91261923076923</v>
      </c>
      <c r="AI213" s="18" t="n">
        <f aca="false">AI64/260000</f>
        <v>3.95502307692308</v>
      </c>
      <c r="AJ213" s="18"/>
      <c r="AK213" s="18"/>
      <c r="AL213" s="18" t="n">
        <f aca="false">AL64/260000</f>
        <v>5.03096923076923</v>
      </c>
      <c r="AM213" s="18" t="n">
        <f aca="false">AM64/260000</f>
        <v>0</v>
      </c>
      <c r="AN213" s="18" t="n">
        <f aca="false">AN64/260000</f>
        <v>4.26508076923077</v>
      </c>
      <c r="AO213" s="18" t="n">
        <f aca="false">AO64/260000</f>
        <v>9.23780769230769</v>
      </c>
      <c r="AP213" s="18" t="n">
        <f aca="false">AP64/260000</f>
        <v>3.62914615384615</v>
      </c>
      <c r="AQ213" s="18" t="n">
        <f aca="false">AQ64/260000</f>
        <v>0</v>
      </c>
      <c r="AR213" s="18" t="n">
        <f aca="false">AR64/260000</f>
        <v>1.82905769230769</v>
      </c>
      <c r="AS213" s="18" t="n">
        <f aca="false">AS64/260000</f>
        <v>0</v>
      </c>
      <c r="AT213" s="18"/>
      <c r="AU213" s="18"/>
      <c r="AV213" s="18"/>
      <c r="AW213" s="18"/>
      <c r="AX213" s="18"/>
      <c r="AY213" s="18" t="n">
        <f aca="false">AY64/260000</f>
        <v>23.9920615384615</v>
      </c>
      <c r="AZ213" s="18" t="n">
        <f aca="false">AZ64/260000</f>
        <v>18.8213576923077</v>
      </c>
      <c r="BA213" s="18" t="n">
        <f aca="false">BA64/260000</f>
        <v>13.7336153846154</v>
      </c>
      <c r="BB213" s="18" t="n">
        <f aca="false">BB64/260000</f>
        <v>1.28216923076923</v>
      </c>
      <c r="BC213" s="18" t="n">
        <f aca="false">BC64/260000</f>
        <v>28.0765153846154</v>
      </c>
      <c r="BD213" s="18"/>
      <c r="BE213" s="18" t="n">
        <f aca="false">BE64/260000</f>
        <v>85.9057192307692</v>
      </c>
    </row>
    <row r="214" customFormat="false" ht="12.75" hidden="false" customHeight="true" outlineLevel="0" collapsed="false">
      <c r="A214" s="1" t="s">
        <v>85</v>
      </c>
      <c r="B214" s="1" t="n">
        <v>2023</v>
      </c>
      <c r="C214" s="17" t="s">
        <v>84</v>
      </c>
      <c r="D214" s="18" t="n">
        <f aca="false">D66/160000</f>
        <v>1.88209375</v>
      </c>
      <c r="E214" s="18" t="n">
        <f aca="false">E66/160000</f>
        <v>0</v>
      </c>
      <c r="F214" s="18" t="n">
        <f aca="false">F66/160000</f>
        <v>0</v>
      </c>
      <c r="G214" s="18" t="n">
        <f aca="false">G66/160000</f>
        <v>2.79313125</v>
      </c>
      <c r="H214" s="18" t="n">
        <f aca="false">H66/160000</f>
        <v>3.2855</v>
      </c>
      <c r="I214" s="18" t="n">
        <f aca="false">I66/160000</f>
        <v>2.300525</v>
      </c>
      <c r="J214" s="18" t="n">
        <f aca="false">J66/160000</f>
        <v>1.86905</v>
      </c>
      <c r="K214" s="18"/>
      <c r="L214" s="18" t="n">
        <f aca="false">L66/160000</f>
        <v>0</v>
      </c>
      <c r="M214" s="18"/>
      <c r="N214" s="18"/>
      <c r="O214" s="18" t="n">
        <f aca="false">O66/160000</f>
        <v>0</v>
      </c>
      <c r="P214" s="18" t="n">
        <f aca="false">P66/160000</f>
        <v>4.30704375</v>
      </c>
      <c r="Q214" s="18" t="n">
        <f aca="false">Q66/160000</f>
        <v>2.65024375</v>
      </c>
      <c r="R214" s="18" t="n">
        <f aca="false">R66/160000</f>
        <v>0</v>
      </c>
      <c r="S214" s="18" t="n">
        <f aca="false">S66/160000</f>
        <v>2.7618625</v>
      </c>
      <c r="T214" s="18" t="n">
        <f aca="false">T66/160000</f>
        <v>0</v>
      </c>
      <c r="U214" s="18" t="n">
        <f aca="false">U66/160000</f>
        <v>0</v>
      </c>
      <c r="V214" s="18" t="n">
        <f aca="false">V66/160000</f>
        <v>0</v>
      </c>
      <c r="W214" s="18" t="n">
        <f aca="false">W66/160000</f>
        <v>0</v>
      </c>
      <c r="X214" s="18"/>
      <c r="Y214" s="18"/>
      <c r="Z214" s="18" t="n">
        <f aca="false">Z66/160000</f>
        <v>0</v>
      </c>
      <c r="AA214" s="18" t="n">
        <f aca="false">AA66/160000</f>
        <v>0.34144375</v>
      </c>
      <c r="AB214" s="18" t="n">
        <f aca="false">AB66/160000</f>
        <v>0.363775</v>
      </c>
      <c r="AC214" s="18" t="n">
        <f aca="false">AC66/160000</f>
        <v>0</v>
      </c>
      <c r="AD214" s="18" t="n">
        <f aca="false">AD66/160000</f>
        <v>2.25085</v>
      </c>
      <c r="AE214" s="18" t="n">
        <f aca="false">AE66/160000</f>
        <v>4.472675</v>
      </c>
      <c r="AF214" s="18" t="n">
        <f aca="false">AF66/160000</f>
        <v>2.42941875</v>
      </c>
      <c r="AG214" s="18" t="n">
        <f aca="false">AG66/160000</f>
        <v>3.59645</v>
      </c>
      <c r="AH214" s="18" t="n">
        <f aca="false">AH66/160000</f>
        <v>2.1411</v>
      </c>
      <c r="AI214" s="18" t="n">
        <f aca="false">AI66/160000</f>
        <v>2.3876375</v>
      </c>
      <c r="AJ214" s="18"/>
      <c r="AK214" s="18"/>
      <c r="AL214" s="18" t="n">
        <f aca="false">AL66/160000</f>
        <v>1.1411125</v>
      </c>
      <c r="AM214" s="18" t="n">
        <f aca="false">AM66/160000</f>
        <v>0</v>
      </c>
      <c r="AN214" s="18" t="n">
        <f aca="false">AN66/160000</f>
        <v>0</v>
      </c>
      <c r="AO214" s="18" t="n">
        <f aca="false">AO66/160000</f>
        <v>0</v>
      </c>
      <c r="AP214" s="18" t="n">
        <f aca="false">AP66/160000</f>
        <v>0.58030625</v>
      </c>
      <c r="AQ214" s="18" t="n">
        <f aca="false">AQ66/160000</f>
        <v>0</v>
      </c>
      <c r="AR214" s="18" t="n">
        <f aca="false">AR66/160000</f>
        <v>0.62340625</v>
      </c>
      <c r="AS214" s="18" t="n">
        <f aca="false">AS66/160000</f>
        <v>0</v>
      </c>
      <c r="AT214" s="18"/>
      <c r="AU214" s="18"/>
      <c r="AV214" s="18"/>
      <c r="AW214" s="18"/>
      <c r="AX214" s="18"/>
      <c r="AY214" s="18" t="n">
        <f aca="false">AY66/160000</f>
        <v>2.344825</v>
      </c>
      <c r="AZ214" s="18" t="n">
        <f aca="false">AZ66/160000</f>
        <v>12.1303</v>
      </c>
      <c r="BA214" s="18" t="n">
        <f aca="false">BA66/160000</f>
        <v>9.71915</v>
      </c>
      <c r="BB214" s="18" t="n">
        <f aca="false">BB66/160000</f>
        <v>0.70521875</v>
      </c>
      <c r="BC214" s="18" t="n">
        <f aca="false">BC66/160000</f>
        <v>17.27813125</v>
      </c>
      <c r="BD214" s="18"/>
      <c r="BE214" s="18" t="n">
        <f aca="false">BE66/160000</f>
        <v>42.177625</v>
      </c>
    </row>
    <row r="215" customFormat="false" ht="12.75" hidden="false" customHeight="true" outlineLevel="0" collapsed="false">
      <c r="A215" s="1" t="s">
        <v>86</v>
      </c>
      <c r="B215" s="1" t="n">
        <v>2023</v>
      </c>
      <c r="C215" s="17" t="s">
        <v>84</v>
      </c>
      <c r="D215" s="18" t="n">
        <f aca="false">D213+D214</f>
        <v>6.51678605769231</v>
      </c>
      <c r="E215" s="18" t="n">
        <f aca="false">E213+E214</f>
        <v>1.566</v>
      </c>
      <c r="F215" s="18" t="n">
        <f aca="false">F213+F214</f>
        <v>1.38209230769231</v>
      </c>
      <c r="G215" s="18" t="n">
        <f aca="false">G213+G214</f>
        <v>6.51500817307692</v>
      </c>
      <c r="H215" s="18" t="n">
        <f aca="false">H213+H214</f>
        <v>6.60658076923077</v>
      </c>
      <c r="I215" s="18" t="n">
        <f aca="false">I213+I214</f>
        <v>5.50739807692308</v>
      </c>
      <c r="J215" s="18" t="n">
        <f aca="false">J213+J214</f>
        <v>2.85779230769231</v>
      </c>
      <c r="K215" s="18"/>
      <c r="L215" s="18" t="n">
        <f aca="false">L213+L214</f>
        <v>0</v>
      </c>
      <c r="M215" s="18"/>
      <c r="N215" s="18"/>
      <c r="O215" s="18" t="n">
        <f aca="false">O213+O214</f>
        <v>3.36018076923077</v>
      </c>
      <c r="P215" s="18" t="n">
        <f aca="false">P213+P214</f>
        <v>7.14477836538462</v>
      </c>
      <c r="Q215" s="18" t="n">
        <f aca="false">Q213+Q214</f>
        <v>8.79712451923077</v>
      </c>
      <c r="R215" s="18" t="n">
        <f aca="false">R213+R214</f>
        <v>0</v>
      </c>
      <c r="S215" s="18" t="n">
        <f aca="false">S213+S214</f>
        <v>4.15068173076923</v>
      </c>
      <c r="T215" s="18" t="n">
        <f aca="false">T213+T214</f>
        <v>0</v>
      </c>
      <c r="U215" s="18" t="n">
        <f aca="false">U213+U214</f>
        <v>0</v>
      </c>
      <c r="V215" s="18" t="n">
        <f aca="false">V213+V214</f>
        <v>0</v>
      </c>
      <c r="W215" s="18" t="n">
        <f aca="false">W213+W214</f>
        <v>0</v>
      </c>
      <c r="X215" s="18"/>
      <c r="Y215" s="18"/>
      <c r="Z215" s="18" t="n">
        <f aca="false">Z213+Z214</f>
        <v>0</v>
      </c>
      <c r="AA215" s="18" t="n">
        <f aca="false">AA213+AA214</f>
        <v>1.62361298076923</v>
      </c>
      <c r="AB215" s="18" t="n">
        <f aca="false">AB213+AB214</f>
        <v>0.363775</v>
      </c>
      <c r="AC215" s="18" t="n">
        <f aca="false">AC213+AC214</f>
        <v>0</v>
      </c>
      <c r="AD215" s="18" t="n">
        <f aca="false">AD213+AD214</f>
        <v>9.24337692307692</v>
      </c>
      <c r="AE215" s="18" t="n">
        <f aca="false">AE213+AE214</f>
        <v>8.62334423076923</v>
      </c>
      <c r="AF215" s="18" t="n">
        <f aca="false">AF213+AF214</f>
        <v>6.02750336538462</v>
      </c>
      <c r="AG215" s="18" t="n">
        <f aca="false">AG213+AG214</f>
        <v>7.06404230769231</v>
      </c>
      <c r="AH215" s="18" t="n">
        <f aca="false">AH213+AH214</f>
        <v>8.05371923076923</v>
      </c>
      <c r="AI215" s="18" t="n">
        <f aca="false">AI213+AI214</f>
        <v>6.34266057692308</v>
      </c>
      <c r="AJ215" s="18"/>
      <c r="AK215" s="18"/>
      <c r="AL215" s="18" t="n">
        <f aca="false">AL213+AL214</f>
        <v>6.17208173076923</v>
      </c>
      <c r="AM215" s="18" t="n">
        <f aca="false">AM213+AM214</f>
        <v>0</v>
      </c>
      <c r="AN215" s="18" t="n">
        <f aca="false">AN213+AN214</f>
        <v>4.26508076923077</v>
      </c>
      <c r="AO215" s="18" t="n">
        <f aca="false">AO213+AO214</f>
        <v>9.23780769230769</v>
      </c>
      <c r="AP215" s="18" t="n">
        <f aca="false">AP213+AP214</f>
        <v>4.20945240384615</v>
      </c>
      <c r="AQ215" s="18" t="n">
        <f aca="false">AQ213+AQ214</f>
        <v>0</v>
      </c>
      <c r="AR215" s="18" t="n">
        <f aca="false">AR213+AR214</f>
        <v>2.45246394230769</v>
      </c>
      <c r="AS215" s="18" t="n">
        <f aca="false">AS213+AS214</f>
        <v>0</v>
      </c>
      <c r="AT215" s="18"/>
      <c r="AU215" s="18"/>
      <c r="AV215" s="18"/>
      <c r="AW215" s="18"/>
      <c r="AX215" s="18"/>
      <c r="AY215" s="18" t="n">
        <f aca="false">AY213+AY214</f>
        <v>26.3368865384615</v>
      </c>
      <c r="AZ215" s="18" t="n">
        <f aca="false">AZ213+AZ214</f>
        <v>30.9516576923077</v>
      </c>
      <c r="BA215" s="18" t="n">
        <f aca="false">BA213+BA214</f>
        <v>23.4527653846154</v>
      </c>
      <c r="BB215" s="18" t="n">
        <f aca="false">BB213+BB214</f>
        <v>1.98738798076923</v>
      </c>
      <c r="BC215" s="18" t="n">
        <f aca="false">BC213+BC214</f>
        <v>45.3546466346154</v>
      </c>
      <c r="BD215" s="18"/>
      <c r="BE215" s="18" t="n">
        <f aca="false">BE213+BE214</f>
        <v>128.083344230769</v>
      </c>
    </row>
    <row r="216" customFormat="false" ht="12.75" hidden="false" customHeight="true" outlineLevel="0" collapsed="false">
      <c r="A216" s="1" t="s">
        <v>87</v>
      </c>
      <c r="B216" s="1" t="n">
        <v>2024</v>
      </c>
      <c r="C216" s="17" t="s">
        <v>84</v>
      </c>
      <c r="D216" s="18" t="n">
        <f aca="false">D68/100000</f>
        <v>6.81655</v>
      </c>
      <c r="E216" s="18" t="n">
        <f aca="false">E68/100000</f>
        <v>4.91231</v>
      </c>
      <c r="F216" s="18" t="n">
        <f aca="false">F68/100000</f>
        <v>3.92424</v>
      </c>
      <c r="G216" s="18" t="n">
        <f aca="false">G68/100000</f>
        <v>6.80203</v>
      </c>
      <c r="H216" s="18" t="n">
        <f aca="false">H68/100000</f>
        <v>7.19988</v>
      </c>
      <c r="I216" s="18" t="n">
        <f aca="false">I68/100000</f>
        <v>6.35802</v>
      </c>
      <c r="J216" s="18" t="n">
        <f aca="false">J68/100000</f>
        <v>2.39475</v>
      </c>
      <c r="K216" s="18"/>
      <c r="L216" s="18" t="n">
        <f aca="false">L68/100000</f>
        <v>0</v>
      </c>
      <c r="M216" s="18"/>
      <c r="N216" s="18"/>
      <c r="O216" s="18" t="n">
        <f aca="false">O68/100000</f>
        <v>4.72602</v>
      </c>
      <c r="P216" s="18" t="n">
        <f aca="false">P68/100000</f>
        <v>7.99539</v>
      </c>
      <c r="Q216" s="18" t="n">
        <f aca="false">Q68/100000</f>
        <v>13.41053</v>
      </c>
      <c r="R216" s="18" t="n">
        <f aca="false">R68/100000</f>
        <v>4.1007</v>
      </c>
      <c r="S216" s="18" t="n">
        <f aca="false">S68/100000</f>
        <v>7.25227</v>
      </c>
      <c r="T216" s="18" t="n">
        <f aca="false">T68/100000</f>
        <v>0</v>
      </c>
      <c r="U216" s="18" t="n">
        <f aca="false">U68/100000</f>
        <v>0</v>
      </c>
      <c r="V216" s="18" t="n">
        <f aca="false">V68/100000</f>
        <v>0</v>
      </c>
      <c r="W216" s="18" t="n">
        <f aca="false">W68/100000</f>
        <v>0</v>
      </c>
      <c r="X216" s="18"/>
      <c r="Y216" s="18"/>
      <c r="Z216" s="18" t="n">
        <f aca="false">Z68/100000</f>
        <v>0</v>
      </c>
      <c r="AA216" s="18" t="n">
        <f aca="false">AA68/100000</f>
        <v>3.05535</v>
      </c>
      <c r="AB216" s="18" t="n">
        <f aca="false">AB68/100000</f>
        <v>2.77188</v>
      </c>
      <c r="AC216" s="18" t="n">
        <f aca="false">AC68/100000</f>
        <v>0</v>
      </c>
      <c r="AD216" s="18" t="n">
        <f aca="false">AD68/100000</f>
        <v>7.94149</v>
      </c>
      <c r="AE216" s="18" t="n">
        <f aca="false">AE68/100000</f>
        <v>10.48294</v>
      </c>
      <c r="AF216" s="18" t="n">
        <f aca="false">AF68/100000</f>
        <v>6.03722</v>
      </c>
      <c r="AG216" s="18" t="n">
        <f aca="false">AG68/100000</f>
        <v>11.89569</v>
      </c>
      <c r="AH216" s="18" t="n">
        <f aca="false">AH68/100000</f>
        <v>13.16206</v>
      </c>
      <c r="AI216" s="18" t="n">
        <f aca="false">AI68/100000</f>
        <v>12.22375</v>
      </c>
      <c r="AJ216" s="18"/>
      <c r="AK216" s="18"/>
      <c r="AL216" s="18" t="n">
        <f aca="false">AL68/100000</f>
        <v>7.79769</v>
      </c>
      <c r="AM216" s="18" t="n">
        <f aca="false">AM68/100000</f>
        <v>1.69118</v>
      </c>
      <c r="AN216" s="18" t="n">
        <f aca="false">AN68/100000</f>
        <v>7.90421</v>
      </c>
      <c r="AO216" s="18" t="n">
        <f aca="false">AO68/100000</f>
        <v>15.41973</v>
      </c>
      <c r="AP216" s="18" t="n">
        <f aca="false">AP68/100000</f>
        <v>10.5218</v>
      </c>
      <c r="AQ216" s="18" t="n">
        <f aca="false">AQ68/100000</f>
        <v>11.11522</v>
      </c>
      <c r="AR216" s="18" t="n">
        <f aca="false">AR68/100000</f>
        <v>7.40501</v>
      </c>
      <c r="AS216" s="18" t="n">
        <f aca="false">AS68/100000</f>
        <v>0</v>
      </c>
      <c r="AT216" s="18"/>
      <c r="AU216" s="18"/>
      <c r="AV216" s="18"/>
      <c r="AW216" s="18"/>
      <c r="AX216" s="18"/>
      <c r="AY216" s="18" t="n">
        <f aca="false">AY68/100000</f>
        <v>61.85484</v>
      </c>
      <c r="AZ216" s="18" t="n">
        <f aca="false">AZ68/100000</f>
        <v>38.40778</v>
      </c>
      <c r="BA216" s="18" t="n">
        <f aca="false">BA68/100000</f>
        <v>37.48491</v>
      </c>
      <c r="BB216" s="18" t="n">
        <f aca="false">BB68/100000</f>
        <v>5.82723</v>
      </c>
      <c r="BC216" s="18" t="n">
        <f aca="false">BC68/100000</f>
        <v>61.74315</v>
      </c>
      <c r="BD216" s="18"/>
      <c r="BE216" s="18" t="n">
        <f aca="false">BE68/100000</f>
        <v>205.31791</v>
      </c>
    </row>
    <row r="217" customFormat="false" ht="12.75" hidden="false" customHeight="true" outlineLevel="0" collapsed="false">
      <c r="A217" s="1" t="s">
        <v>88</v>
      </c>
      <c r="B217" s="1" t="n">
        <v>2023</v>
      </c>
      <c r="C217" s="17" t="s">
        <v>84</v>
      </c>
      <c r="D217" s="18" t="n">
        <f aca="false">D216/(D213+D214)</f>
        <v>1.04599873920272</v>
      </c>
      <c r="E217" s="18" t="n">
        <f aca="false">E216/(E213+E214)</f>
        <v>3.13685185185185</v>
      </c>
      <c r="F217" s="18" t="n">
        <f aca="false">F216/(F213+F214)</f>
        <v>2.839347254998</v>
      </c>
      <c r="G217" s="18" t="n">
        <f aca="false">G216/(G213+G214)</f>
        <v>1.04405548224931</v>
      </c>
      <c r="H217" s="18" t="n">
        <f aca="false">H216/(H213+H214)</f>
        <v>1.08980428023108</v>
      </c>
      <c r="I217" s="18" t="n">
        <f aca="false">I216/(I213+I214)</f>
        <v>1.15445077896969</v>
      </c>
      <c r="J217" s="18" t="n">
        <f aca="false">J216/(J213+J214)</f>
        <v>0.837972022513344</v>
      </c>
      <c r="K217" s="18"/>
      <c r="L217" s="18" t="e">
        <f aca="false">L216/(L213+L214)</f>
        <v>#DIV/0!</v>
      </c>
      <c r="M217" s="18"/>
      <c r="N217" s="18"/>
      <c r="O217" s="18" t="n">
        <f aca="false">O216/(O213+O214)</f>
        <v>1.40647790240223</v>
      </c>
      <c r="P217" s="18" t="n">
        <f aca="false">P216/(P213+P214)</f>
        <v>1.11905360686015</v>
      </c>
      <c r="Q217" s="18" t="n">
        <f aca="false">Q216/(Q213+Q214)</f>
        <v>1.52442198251078</v>
      </c>
      <c r="R217" s="18" t="e">
        <f aca="false">R216/(R213+R214)</f>
        <v>#DIV/0!</v>
      </c>
      <c r="S217" s="18" t="n">
        <f aca="false">S216/(S213+S214)</f>
        <v>1.74724791502045</v>
      </c>
      <c r="T217" s="18" t="e">
        <f aca="false">T216/(T213+T214)</f>
        <v>#DIV/0!</v>
      </c>
      <c r="U217" s="18" t="e">
        <f aca="false">U216/(U213+U214)</f>
        <v>#DIV/0!</v>
      </c>
      <c r="V217" s="18" t="e">
        <f aca="false">V216/(V213+V214)</f>
        <v>#DIV/0!</v>
      </c>
      <c r="W217" s="18" t="e">
        <f aca="false">W216/(W213+W214)</f>
        <v>#DIV/0!</v>
      </c>
      <c r="X217" s="18"/>
      <c r="Y217" s="18"/>
      <c r="Z217" s="18" t="e">
        <f aca="false">Z216/(Z213+Z214)</f>
        <v>#DIV/0!</v>
      </c>
      <c r="AA217" s="18" t="n">
        <f aca="false">AA216/(AA213+AA214)</f>
        <v>1.88182161401078</v>
      </c>
      <c r="AB217" s="18" t="n">
        <f aca="false">AB216/(AB213+AB214)</f>
        <v>7.61976496460724</v>
      </c>
      <c r="AC217" s="18" t="e">
        <f aca="false">AC216/(AC213+AC214)</f>
        <v>#DIV/0!</v>
      </c>
      <c r="AD217" s="18" t="n">
        <f aca="false">AD216/(AD213+AD214)</f>
        <v>0.859154621313057</v>
      </c>
      <c r="AE217" s="18" t="n">
        <f aca="false">AE216/(AE213+AE214)</f>
        <v>1.21564670497502</v>
      </c>
      <c r="AF217" s="18" t="n">
        <f aca="false">AF216/(AF213+AF214)</f>
        <v>1.00161204963753</v>
      </c>
      <c r="AG217" s="18" t="n">
        <f aca="false">AG216/(AG213+AG214)</f>
        <v>1.68397773991902</v>
      </c>
      <c r="AH217" s="18" t="n">
        <f aca="false">AH216/(AH213+AH214)</f>
        <v>1.63428344381741</v>
      </c>
      <c r="AI217" s="18" t="n">
        <f aca="false">AI216/(AI213+AI214)</f>
        <v>1.92722751781397</v>
      </c>
      <c r="AJ217" s="18"/>
      <c r="AK217" s="18"/>
      <c r="AL217" s="18" t="n">
        <f aca="false">AL216/(AL213+AL214)</f>
        <v>1.26338087214995</v>
      </c>
      <c r="AM217" s="18" t="e">
        <f aca="false">AM216/(AM213+AM214)</f>
        <v>#DIV/0!</v>
      </c>
      <c r="AN217" s="18" t="n">
        <f aca="false">AN216/(AN213+AN214)</f>
        <v>1.85323805753521</v>
      </c>
      <c r="AO217" s="18" t="n">
        <f aca="false">AO216/(AO213+AO214)</f>
        <v>1.66919798653527</v>
      </c>
      <c r="AP217" s="18" t="n">
        <f aca="false">AP216/(AP213+AP214)</f>
        <v>2.49956502427401</v>
      </c>
      <c r="AQ217" s="18" t="e">
        <f aca="false">AQ216/(AQ213+AQ214)</f>
        <v>#DIV/0!</v>
      </c>
      <c r="AR217" s="18" t="n">
        <f aca="false">AR216/(AR213+AR214)</f>
        <v>3.01941646205494</v>
      </c>
      <c r="AS217" s="18" t="e">
        <f aca="false">AS216/(AS213+AS214)</f>
        <v>#DIV/0!</v>
      </c>
      <c r="AT217" s="18"/>
      <c r="AU217" s="18"/>
      <c r="AV217" s="18"/>
      <c r="AW217" s="18"/>
      <c r="AX217" s="18"/>
      <c r="AY217" s="18" t="n">
        <f aca="false">AY216/(AY213+AY214)</f>
        <v>2.34860107361852</v>
      </c>
      <c r="AZ217" s="18" t="n">
        <f aca="false">AZ216/(AZ213+AZ214)</f>
        <v>1.24089573430328</v>
      </c>
      <c r="BA217" s="18" t="n">
        <f aca="false">BA216/(BA213+BA214)</f>
        <v>1.59831514046482</v>
      </c>
      <c r="BB217" s="18" t="n">
        <f aca="false">BB216/(BB213+BB214)</f>
        <v>2.93210488157654</v>
      </c>
      <c r="BC217" s="18" t="n">
        <f aca="false">BC216/(BC213+BC214)</f>
        <v>1.36134122039166</v>
      </c>
      <c r="BD217" s="18"/>
      <c r="BE217" s="18" t="n">
        <f aca="false">BE216/(BE213+BE214)</f>
        <v>1.60300241403813</v>
      </c>
    </row>
    <row r="218" customFormat="false" ht="12.75" hidden="false" customHeight="true" outlineLevel="0" collapsed="false">
      <c r="C218" s="17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</row>
    <row r="219" customFormat="false" ht="12.75" hidden="false" customHeight="true" outlineLevel="0" collapsed="false">
      <c r="A219" s="1" t="s">
        <v>89</v>
      </c>
      <c r="B219" s="1" t="n">
        <v>2023</v>
      </c>
      <c r="C219" s="17" t="s">
        <v>53</v>
      </c>
      <c r="D219" s="18" t="n">
        <f aca="false">D192/D77</f>
        <v>127.000182982617</v>
      </c>
      <c r="E219" s="18" t="n">
        <f aca="false">E192/E77</f>
        <v>80.5138329873321</v>
      </c>
      <c r="F219" s="18" t="n">
        <f aca="false">F192/F77</f>
        <v>73.4167158598977</v>
      </c>
      <c r="G219" s="18" t="n">
        <f aca="false">G192/G77</f>
        <v>133.766342620943</v>
      </c>
      <c r="H219" s="18" t="n">
        <f aca="false">H192/H77</f>
        <v>121.319230910359</v>
      </c>
      <c r="I219" s="18" t="n">
        <f aca="false">I192/I77</f>
        <v>92.8029393263567</v>
      </c>
      <c r="J219" s="18" t="n">
        <f aca="false">J192/J77</f>
        <v>184.177129148341</v>
      </c>
      <c r="K219" s="18"/>
      <c r="L219" s="18" t="e">
        <f aca="false">L192/L77</f>
        <v>#DIV/0!</v>
      </c>
      <c r="M219" s="18"/>
      <c r="N219" s="18"/>
      <c r="O219" s="18" t="n">
        <f aca="false">O192/O77</f>
        <v>102.741969240526</v>
      </c>
      <c r="P219" s="18" t="n">
        <f aca="false">P192/P77</f>
        <v>161.0224797219</v>
      </c>
      <c r="Q219" s="18" t="n">
        <f aca="false">Q192/Q77</f>
        <v>115.813513454049</v>
      </c>
      <c r="R219" s="18" t="n">
        <f aca="false">R192/R77</f>
        <v>247.338316286389</v>
      </c>
      <c r="S219" s="18" t="n">
        <f aca="false">S192/S77</f>
        <v>143.782414307004</v>
      </c>
      <c r="T219" s="18" t="n">
        <f aca="false">T192/T77</f>
        <v>0</v>
      </c>
      <c r="U219" s="18" t="n">
        <f aca="false">U192/U77</f>
        <v>0</v>
      </c>
      <c r="V219" s="18" t="e">
        <f aca="false">V192/V77</f>
        <v>#DIV/0!</v>
      </c>
      <c r="W219" s="18" t="e">
        <f aca="false">W192/W77</f>
        <v>#DIV/0!</v>
      </c>
      <c r="X219" s="18"/>
      <c r="Y219" s="18"/>
      <c r="Z219" s="18" t="e">
        <f aca="false">Z192/Z77</f>
        <v>#DIV/0!</v>
      </c>
      <c r="AA219" s="18" t="n">
        <f aca="false">AA192/AA77</f>
        <v>146.024166195591</v>
      </c>
      <c r="AB219" s="18" t="n">
        <f aca="false">AB192/AB77</f>
        <v>26.81777743692</v>
      </c>
      <c r="AC219" s="18" t="e">
        <f aca="false">AC192/AC77</f>
        <v>#DIV/0!</v>
      </c>
      <c r="AD219" s="18" t="n">
        <f aca="false">AD192/AD77</f>
        <v>201.936719211375</v>
      </c>
      <c r="AE219" s="18" t="n">
        <f aca="false">AE192/AE77</f>
        <v>172.359456675188</v>
      </c>
      <c r="AF219" s="18" t="n">
        <f aca="false">AF192/AF77</f>
        <v>140.573236333829</v>
      </c>
      <c r="AG219" s="18" t="n">
        <f aca="false">AG192/AG77</f>
        <v>190.383027522936</v>
      </c>
      <c r="AH219" s="18" t="n">
        <f aca="false">AH192/AH77</f>
        <v>165.05153915572</v>
      </c>
      <c r="AI219" s="18" t="n">
        <f aca="false">AI192/AI77</f>
        <v>171.945384223053</v>
      </c>
      <c r="AJ219" s="18"/>
      <c r="AK219" s="18"/>
      <c r="AL219" s="18" t="n">
        <f aca="false">AL192/AL77</f>
        <v>215.984270964007</v>
      </c>
      <c r="AM219" s="18" t="n">
        <f aca="false">AM192/AM77</f>
        <v>81.6716029541193</v>
      </c>
      <c r="AN219" s="18" t="n">
        <f aca="false">AN192/AN77</f>
        <v>208.406901467007</v>
      </c>
      <c r="AO219" s="18" t="n">
        <f aca="false">AO192/AO77</f>
        <v>118.469862655818</v>
      </c>
      <c r="AP219" s="18" t="n">
        <f aca="false">AP192/AP77</f>
        <v>205.513975319059</v>
      </c>
      <c r="AQ219" s="18" t="n">
        <f aca="false">AQ192/AQ77</f>
        <v>224.157362515584</v>
      </c>
      <c r="AR219" s="18" t="n">
        <f aca="false">AR192/AR77</f>
        <v>321.35432038039</v>
      </c>
      <c r="AS219" s="18" t="e">
        <f aca="false">AS192/AS77</f>
        <v>#DIV/0!</v>
      </c>
      <c r="AT219" s="18"/>
      <c r="AU219" s="18"/>
      <c r="AV219" s="18"/>
      <c r="AW219" s="18"/>
      <c r="AX219" s="18"/>
      <c r="AY219" s="18" t="n">
        <f aca="false">AY192/AY77</f>
        <v>163.038109999171</v>
      </c>
      <c r="AZ219" s="18" t="n">
        <f aca="false">AZ192/AZ77</f>
        <v>112.102668641352</v>
      </c>
      <c r="BA219" s="18" t="n">
        <f aca="false">BA192/BA77</f>
        <v>100.16624679208</v>
      </c>
      <c r="BB219" s="18" t="n">
        <f aca="false">BB192/BB77</f>
        <v>45.0782153140086</v>
      </c>
      <c r="BC219" s="18" t="n">
        <f aca="false">BC192/BC77</f>
        <v>173.875436602539</v>
      </c>
      <c r="BD219" s="18"/>
      <c r="BE219" s="18" t="n">
        <f aca="false">BE192/BE77</f>
        <v>129.051925526632</v>
      </c>
    </row>
    <row r="220" customFormat="false" ht="12.75" hidden="false" customHeight="true" outlineLevel="0" collapsed="false">
      <c r="A220" s="1" t="s">
        <v>90</v>
      </c>
      <c r="B220" s="1" t="n">
        <v>2023</v>
      </c>
      <c r="C220" s="17" t="s">
        <v>53</v>
      </c>
      <c r="D220" s="18" t="n">
        <f aca="false">D76/D77</f>
        <v>42.1693504117109</v>
      </c>
      <c r="E220" s="18" t="n">
        <f aca="false">E76/E77</f>
        <v>28.6403846968606</v>
      </c>
      <c r="F220" s="18" t="n">
        <f aca="false">F76/F77</f>
        <v>20.9086481700118</v>
      </c>
      <c r="G220" s="18" t="n">
        <f aca="false">G76/G77</f>
        <v>41.3528781383956</v>
      </c>
      <c r="H220" s="18" t="n">
        <f aca="false">H76/H77</f>
        <v>31.1279125233919</v>
      </c>
      <c r="I220" s="18" t="n">
        <f aca="false">I76/I77</f>
        <v>33.0770858351919</v>
      </c>
      <c r="J220" s="18" t="n">
        <f aca="false">J76/J77</f>
        <v>93.9571371451419</v>
      </c>
      <c r="K220" s="18"/>
      <c r="L220" s="18" t="e">
        <f aca="false">L76/L77</f>
        <v>#DIV/0!</v>
      </c>
      <c r="M220" s="18"/>
      <c r="N220" s="18"/>
      <c r="O220" s="18" t="n">
        <f aca="false">O76/O77</f>
        <v>39.7955287775488</v>
      </c>
      <c r="P220" s="18" t="n">
        <f aca="false">P76/P77</f>
        <v>42.373078408652</v>
      </c>
      <c r="Q220" s="18" t="n">
        <f aca="false">Q76/Q77</f>
        <v>26.6960462916107</v>
      </c>
      <c r="R220" s="18" t="n">
        <f aca="false">R76/R77</f>
        <v>84.0849724626279</v>
      </c>
      <c r="S220" s="18" t="n">
        <f aca="false">S76/S77</f>
        <v>42.297131147541</v>
      </c>
      <c r="T220" s="18" t="n">
        <f aca="false">T76/T77</f>
        <v>0</v>
      </c>
      <c r="U220" s="18" t="n">
        <f aca="false">U76/U77</f>
        <v>0</v>
      </c>
      <c r="V220" s="18" t="e">
        <f aca="false">V76/V77</f>
        <v>#DIV/0!</v>
      </c>
      <c r="W220" s="18" t="e">
        <f aca="false">W76/W77</f>
        <v>#DIV/0!</v>
      </c>
      <c r="X220" s="18"/>
      <c r="Y220" s="18"/>
      <c r="Z220" s="18" t="e">
        <f aca="false">Z76/Z77</f>
        <v>#DIV/0!</v>
      </c>
      <c r="AA220" s="18" t="n">
        <f aca="false">AA76/AA77</f>
        <v>31.1352459016393</v>
      </c>
      <c r="AB220" s="18" t="n">
        <f aca="false">AB76/AB77</f>
        <v>10.0125520873278</v>
      </c>
      <c r="AC220" s="18" t="e">
        <f aca="false">AC76/AC77</f>
        <v>#DIV/0!</v>
      </c>
      <c r="AD220" s="18" t="n">
        <f aca="false">AD76/AD77</f>
        <v>47.2951437786762</v>
      </c>
      <c r="AE220" s="18" t="n">
        <f aca="false">AE76/AE77</f>
        <v>42.2092029455531</v>
      </c>
      <c r="AF220" s="18" t="n">
        <f aca="false">AF76/AF77</f>
        <v>16.0185972642041</v>
      </c>
      <c r="AG220" s="18" t="n">
        <f aca="false">AG76/AG77</f>
        <v>59.9629132767873</v>
      </c>
      <c r="AH220" s="18" t="n">
        <f aca="false">AH76/AH77</f>
        <v>50.4652227681407</v>
      </c>
      <c r="AI220" s="18" t="n">
        <f aca="false">AI76/AI77</f>
        <v>48.9951547092826</v>
      </c>
      <c r="AJ220" s="18"/>
      <c r="AK220" s="18"/>
      <c r="AL220" s="18" t="n">
        <f aca="false">AL76/AL77</f>
        <v>89.4699893853131</v>
      </c>
      <c r="AM220" s="18" t="n">
        <f aca="false">AM76/AM77</f>
        <v>50.7799334175181</v>
      </c>
      <c r="AN220" s="18" t="n">
        <f aca="false">AN76/AN77</f>
        <v>83.2795628674942</v>
      </c>
      <c r="AO220" s="18" t="n">
        <f aca="false">AO76/AO77</f>
        <v>35.9583115622901</v>
      </c>
      <c r="AP220" s="18" t="n">
        <f aca="false">AP76/AP77</f>
        <v>77.3827655310621</v>
      </c>
      <c r="AQ220" s="18" t="n">
        <f aca="false">AQ76/AQ77</f>
        <v>105.590802050145</v>
      </c>
      <c r="AR220" s="18" t="n">
        <f aca="false">AR76/AR77</f>
        <v>85.7402852926709</v>
      </c>
      <c r="AS220" s="18" t="e">
        <f aca="false">AS76/AS77</f>
        <v>#DIV/0!</v>
      </c>
      <c r="AT220" s="18"/>
      <c r="AU220" s="18"/>
      <c r="AV220" s="18"/>
      <c r="AW220" s="18"/>
      <c r="AX220" s="18"/>
      <c r="AY220" s="18" t="n">
        <f aca="false">AY76/AY77</f>
        <v>63.9436737401376</v>
      </c>
      <c r="AZ220" s="18" t="n">
        <f aca="false">AZ76/AZ77</f>
        <v>37.9789054009156</v>
      </c>
      <c r="BA220" s="18" t="n">
        <f aca="false">BA76/BA77</f>
        <v>28.8480034374779</v>
      </c>
      <c r="BB220" s="18" t="n">
        <f aca="false">BB76/BB77</f>
        <v>13.2481977788842</v>
      </c>
      <c r="BC220" s="18" t="n">
        <f aca="false">BC76/BC77</f>
        <v>45.1037173587625</v>
      </c>
      <c r="BD220" s="18"/>
      <c r="BE220" s="18" t="n">
        <f aca="false">BE76/BE77</f>
        <v>41.4409862611462</v>
      </c>
    </row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>
      <c r="A234" s="11" t="s">
        <v>121</v>
      </c>
    </row>
    <row r="235" customFormat="false" ht="12.75" hidden="false" customHeight="true" outlineLevel="0" collapsed="false"/>
    <row r="236" customFormat="false" ht="12.75" hidden="false" customHeight="true" outlineLevel="0" collapsed="false">
      <c r="A236" s="1" t="s">
        <v>122</v>
      </c>
      <c r="D236" s="2" t="str">
        <f aca="false">D5</f>
        <v>North Surrey</v>
      </c>
      <c r="E236" s="2" t="str">
        <f aca="false">E5</f>
        <v>Edmonds</v>
      </c>
      <c r="F236" s="2" t="str">
        <f aca="false">F5</f>
        <v>Ridge Meadows</v>
      </c>
      <c r="G236" s="2" t="str">
        <f aca="false">G5</f>
        <v>Abbotsford</v>
      </c>
      <c r="H236" s="2" t="str">
        <f aca="false">H5</f>
        <v>Surrey Newton</v>
      </c>
      <c r="I236" s="2" t="str">
        <f aca="false">I5</f>
        <v>Port Moody</v>
      </c>
      <c r="J236" s="2" t="str">
        <f aca="false">J5</f>
        <v>Metrotown</v>
      </c>
      <c r="K236" s="2" t="str">
        <f aca="false">K5</f>
        <v>Langley</v>
      </c>
      <c r="L236" s="2" t="str">
        <f aca="false">L5</f>
        <v>Chilliwack</v>
      </c>
      <c r="M236" s="2" t="str">
        <f aca="false">M5</f>
        <v>Mission</v>
      </c>
      <c r="N236" s="2" t="n">
        <f aca="false">N5</f>
        <v>0</v>
      </c>
      <c r="O236" s="2" t="str">
        <f aca="false">O5</f>
        <v>Kamloops</v>
      </c>
      <c r="P236" s="2" t="str">
        <f aca="false">P5</f>
        <v>Vernon</v>
      </c>
      <c r="Q236" s="2" t="str">
        <f aca="false">Q5</f>
        <v>Kelowna</v>
      </c>
      <c r="R236" s="2" t="str">
        <f aca="false">R5</f>
        <v>Castlegar**</v>
      </c>
      <c r="S236" s="2" t="str">
        <f aca="false">S5</f>
        <v>West Kelowna</v>
      </c>
      <c r="T236" s="2" t="str">
        <f aca="false">T5</f>
        <v>Penticton</v>
      </c>
      <c r="U236" s="2" t="str">
        <f aca="false">U5</f>
        <v>Cranbrook</v>
      </c>
      <c r="V236" s="2" t="str">
        <f aca="false">V5</f>
        <v>Ashcroft</v>
      </c>
      <c r="W236" s="2" t="str">
        <f aca="false">W5</f>
        <v>Rutland</v>
      </c>
      <c r="X236" s="2" t="str">
        <f aca="false">X5</f>
        <v>Kamloops North</v>
      </c>
      <c r="Y236" s="2" t="str">
        <f aca="false">Y5</f>
        <v>Williams Lake</v>
      </c>
      <c r="Z236" s="2" t="n">
        <f aca="false">Z5</f>
        <v>0</v>
      </c>
      <c r="AA236" s="2" t="str">
        <f aca="false">AA5</f>
        <v>Quesnel</v>
      </c>
      <c r="AB236" s="2" t="str">
        <f aca="false">AB5</f>
        <v>Prince George**</v>
      </c>
      <c r="AC236" s="2" t="n">
        <f aca="false">AC5</f>
        <v>0</v>
      </c>
      <c r="AD236" s="2" t="str">
        <f aca="false">AD5</f>
        <v>Vancouver CC</v>
      </c>
      <c r="AE236" s="2" t="str">
        <f aca="false">AE5</f>
        <v>North Shore</v>
      </c>
      <c r="AF236" s="2" t="str">
        <f aca="false">AF5</f>
        <v>REACH</v>
      </c>
      <c r="AG236" s="2" t="str">
        <f aca="false">AG5</f>
        <v>Northeast</v>
      </c>
      <c r="AH236" s="2" t="str">
        <f aca="false">AH5</f>
        <v>Richmond</v>
      </c>
      <c r="AI236" s="2" t="str">
        <f aca="false">AI5</f>
        <v>Southeast</v>
      </c>
      <c r="AJ236" s="2" t="str">
        <f aca="false">AJ5</f>
        <v>Richmond East</v>
      </c>
      <c r="AK236" s="2" t="n">
        <f aca="false">AK5</f>
        <v>0</v>
      </c>
      <c r="AL236" s="2" t="str">
        <f aca="false">AL5</f>
        <v>Westshore</v>
      </c>
      <c r="AM236" s="2" t="str">
        <f aca="false">AM5</f>
        <v>Nanaimo**</v>
      </c>
      <c r="AN236" s="2" t="str">
        <f aca="false">AN5</f>
        <v>James Bay</v>
      </c>
      <c r="AO236" s="2" t="str">
        <f aca="false">AO5</f>
        <v>Downtown</v>
      </c>
      <c r="AP236" s="2" t="str">
        <f aca="false">AP5</f>
        <v>North Quadra</v>
      </c>
      <c r="AQ236" s="2" t="str">
        <f aca="false">AQ5</f>
        <v>Esquimalt</v>
      </c>
      <c r="AR236" s="2" t="str">
        <f aca="false">AR5</f>
        <v>Gorge</v>
      </c>
      <c r="AS236" s="2" t="str">
        <f aca="false">AS5</f>
        <v>Comox Valley</v>
      </c>
      <c r="AT236" s="2" t="str">
        <f aca="false">AT5</f>
        <v>Peninsula</v>
      </c>
      <c r="AU236" s="2" t="str">
        <f aca="false">AU5</f>
        <v>Campbell River</v>
      </c>
      <c r="AV236" s="2" t="str">
        <f aca="false">AV5</f>
        <v>Central Nanaimo</v>
      </c>
      <c r="AW236" s="2" t="str">
        <f aca="false">AW5</f>
        <v>Cowichan</v>
      </c>
      <c r="AX236" s="2" t="n">
        <f aca="false">AX5</f>
        <v>0</v>
      </c>
      <c r="AY236" s="2" t="str">
        <f aca="false">AY5</f>
        <v>VIHA</v>
      </c>
      <c r="AZ236" s="2" t="str">
        <f aca="false">AZ5</f>
        <v>FH</v>
      </c>
      <c r="BA236" s="2" t="str">
        <f aca="false">BA5</f>
        <v>IH</v>
      </c>
      <c r="BB236" s="2" t="str">
        <f aca="false">BB5</f>
        <v>NH</v>
      </c>
      <c r="BC236" s="2" t="str">
        <f aca="false">BC5</f>
        <v>VCH</v>
      </c>
      <c r="BD236" s="2" t="n">
        <f aca="false">BD5</f>
        <v>0</v>
      </c>
      <c r="BE236" s="2" t="str">
        <f aca="false">BE5</f>
        <v>BC</v>
      </c>
    </row>
    <row r="237" customFormat="false" ht="12.75" hidden="false" customHeight="true" outlineLevel="0" collapsed="false">
      <c r="A237" s="2" t="s">
        <v>73</v>
      </c>
      <c r="B237" s="2" t="n">
        <v>2025</v>
      </c>
      <c r="C237" s="2" t="s">
        <v>92</v>
      </c>
      <c r="D237" s="14" t="n">
        <f aca="false">D24</f>
        <v>32454</v>
      </c>
      <c r="E237" s="14" t="n">
        <f aca="false">E24</f>
        <v>10753</v>
      </c>
      <c r="F237" s="14" t="n">
        <f aca="false">F24</f>
        <v>22778</v>
      </c>
      <c r="G237" s="14" t="n">
        <f aca="false">G24</f>
        <v>35486</v>
      </c>
      <c r="H237" s="14" t="n">
        <f aca="false">H24</f>
        <v>22802</v>
      </c>
      <c r="I237" s="14" t="n">
        <f aca="false">I24</f>
        <v>52356</v>
      </c>
      <c r="J237" s="14" t="n">
        <f aca="false">J24</f>
        <v>50878</v>
      </c>
      <c r="K237" s="14" t="n">
        <f aca="false">K24</f>
        <v>11619</v>
      </c>
      <c r="L237" s="14" t="n">
        <f aca="false">L24</f>
        <v>7629</v>
      </c>
      <c r="M237" s="14" t="n">
        <f aca="false">M24</f>
        <v>13239</v>
      </c>
      <c r="N237" s="14"/>
      <c r="O237" s="14" t="n">
        <f aca="false">O24</f>
        <v>41555</v>
      </c>
      <c r="P237" s="14" t="n">
        <f aca="false">P24</f>
        <v>19970</v>
      </c>
      <c r="Q237" s="14" t="n">
        <f aca="false">Q24</f>
        <v>50784</v>
      </c>
      <c r="R237" s="14" t="n">
        <f aca="false">R24</f>
        <v>6755</v>
      </c>
      <c r="S237" s="14" t="n">
        <f aca="false">S24</f>
        <v>29045</v>
      </c>
      <c r="T237" s="14" t="n">
        <f aca="false">T24</f>
        <v>16379</v>
      </c>
      <c r="U237" s="14" t="n">
        <f aca="false">U24</f>
        <v>18003</v>
      </c>
      <c r="V237" s="14" t="n">
        <f aca="false">V24</f>
        <v>10776</v>
      </c>
      <c r="W237" s="14" t="n">
        <f aca="false">W24</f>
        <v>25153</v>
      </c>
      <c r="X237" s="14" t="n">
        <f aca="false">X24</f>
        <v>6235</v>
      </c>
      <c r="Y237" s="14" t="n">
        <f aca="false">Y24</f>
        <v>0</v>
      </c>
      <c r="Z237" s="14"/>
      <c r="AA237" s="14" t="n">
        <f aca="false">AA24</f>
        <v>6099</v>
      </c>
      <c r="AB237" s="14" t="n">
        <f aca="false">AB24</f>
        <v>26805</v>
      </c>
      <c r="AC237" s="14"/>
      <c r="AD237" s="14" t="n">
        <f aca="false">AD24</f>
        <v>25973</v>
      </c>
      <c r="AE237" s="14" t="n">
        <f aca="false">AE24</f>
        <v>24438</v>
      </c>
      <c r="AF237" s="14" t="n">
        <f aca="false">AF24</f>
        <v>22067</v>
      </c>
      <c r="AG237" s="14" t="n">
        <f aca="false">AG24</f>
        <v>24310</v>
      </c>
      <c r="AH237" s="14" t="n">
        <f aca="false">AH24</f>
        <v>35397</v>
      </c>
      <c r="AI237" s="14" t="n">
        <f aca="false">AI24</f>
        <v>24270</v>
      </c>
      <c r="AJ237" s="14" t="n">
        <f aca="false">AJ24</f>
        <v>18443</v>
      </c>
      <c r="AK237" s="14"/>
      <c r="AL237" s="14" t="n">
        <f aca="false">AL24</f>
        <v>18203</v>
      </c>
      <c r="AM237" s="14" t="n">
        <f aca="false">AM24</f>
        <v>18859</v>
      </c>
      <c r="AN237" s="14" t="n">
        <f aca="false">AN24</f>
        <v>22258</v>
      </c>
      <c r="AO237" s="14" t="n">
        <f aca="false">AO24</f>
        <v>58733</v>
      </c>
      <c r="AP237" s="14" t="n">
        <f aca="false">AP24</f>
        <v>17210</v>
      </c>
      <c r="AQ237" s="14" t="n">
        <f aca="false">AQ24</f>
        <v>18227</v>
      </c>
      <c r="AR237" s="14" t="n">
        <f aca="false">AR24</f>
        <v>30280</v>
      </c>
      <c r="AS237" s="14" t="n">
        <f aca="false">AS24</f>
        <v>14350</v>
      </c>
      <c r="AT237" s="14" t="n">
        <f aca="false">AT24</f>
        <v>3649</v>
      </c>
      <c r="AU237" s="14" t="n">
        <f aca="false">AU24</f>
        <v>3680</v>
      </c>
      <c r="AV237" s="14" t="n">
        <f aca="false">AV24</f>
        <v>429</v>
      </c>
      <c r="AW237" s="14" t="n">
        <f aca="false">AW24</f>
        <v>0</v>
      </c>
      <c r="AX237" s="14" t="n">
        <f aca="false">AX24</f>
        <v>0</v>
      </c>
      <c r="AY237" s="14" t="n">
        <f aca="false">AY24</f>
        <v>205878</v>
      </c>
      <c r="AZ237" s="14" t="n">
        <f aca="false">AZ24</f>
        <v>259994</v>
      </c>
      <c r="BA237" s="14" t="n">
        <f aca="false">BA24</f>
        <v>224655</v>
      </c>
      <c r="BB237" s="14" t="n">
        <f aca="false">BB24</f>
        <v>32904</v>
      </c>
      <c r="BC237" s="14" t="n">
        <f aca="false">BC24</f>
        <v>174898</v>
      </c>
      <c r="BD237" s="14" t="n">
        <f aca="false">BD24</f>
        <v>0</v>
      </c>
      <c r="BE237" s="14" t="n">
        <f aca="false">BE24</f>
        <v>898329</v>
      </c>
    </row>
    <row r="238" customFormat="false" ht="12.75" hidden="false" customHeight="true" outlineLevel="0" collapsed="false">
      <c r="A238" s="1" t="s">
        <v>78</v>
      </c>
      <c r="B238" s="1" t="n">
        <v>2025</v>
      </c>
      <c r="C238" s="1" t="s">
        <v>92</v>
      </c>
      <c r="D238" s="20" t="n">
        <f aca="false">D91/D237</f>
        <v>54.0098829111974</v>
      </c>
      <c r="E238" s="20" t="n">
        <f aca="false">E91/E237</f>
        <v>37.8647819213243</v>
      </c>
      <c r="F238" s="20" t="n">
        <f aca="false">F91/F237</f>
        <v>49.0474857318465</v>
      </c>
      <c r="G238" s="20" t="n">
        <f aca="false">G91/G237</f>
        <v>48.84838274249</v>
      </c>
      <c r="H238" s="20" t="n">
        <f aca="false">H91/H237</f>
        <v>72.4073695289887</v>
      </c>
      <c r="I238" s="20" t="n">
        <f aca="false">I91/I237</f>
        <v>52.4224495759798</v>
      </c>
      <c r="J238" s="20" t="n">
        <f aca="false">J91/J237</f>
        <v>43.7877660285389</v>
      </c>
      <c r="K238" s="20" t="n">
        <f aca="false">K91/K237</f>
        <v>25.434735347276</v>
      </c>
      <c r="L238" s="20" t="n">
        <f aca="false">L91/L237</f>
        <v>32.5975357189671</v>
      </c>
      <c r="M238" s="20" t="n">
        <f aca="false">M91/M237</f>
        <v>23.7660125387114</v>
      </c>
      <c r="N238" s="20"/>
      <c r="O238" s="20" t="n">
        <f aca="false">O91/O237</f>
        <v>48.3010908434605</v>
      </c>
      <c r="P238" s="20" t="n">
        <f aca="false">P91/P237</f>
        <v>46.5642523785679</v>
      </c>
      <c r="Q238" s="20" t="n">
        <f aca="false">Q91/Q237</f>
        <v>57.3125137838689</v>
      </c>
      <c r="R238" s="20" t="n">
        <f aca="false">R91/R237</f>
        <v>10.5125995558845</v>
      </c>
      <c r="S238" s="20" t="n">
        <f aca="false">S91/S237</f>
        <v>40.4922351523498</v>
      </c>
      <c r="T238" s="20" t="n">
        <f aca="false">T91/T237</f>
        <v>62.0359039013371</v>
      </c>
      <c r="U238" s="20" t="n">
        <f aca="false">U91/U237</f>
        <v>41.3770865966783</v>
      </c>
      <c r="V238" s="20" t="n">
        <f aca="false">V91/V237</f>
        <v>110.737132516704</v>
      </c>
      <c r="W238" s="20" t="n">
        <f aca="false">W91/W237</f>
        <v>69.4573915636306</v>
      </c>
      <c r="X238" s="20" t="n">
        <f aca="false">X91/X237</f>
        <v>32.2862245388933</v>
      </c>
      <c r="Y238" s="20" t="e">
        <f aca="false">Y91/Y237</f>
        <v>#DIV/0!</v>
      </c>
      <c r="Z238" s="20"/>
      <c r="AA238" s="20" t="n">
        <f aca="false">AA91/AA237</f>
        <v>96.8850631251025</v>
      </c>
      <c r="AB238" s="20" t="n">
        <f aca="false">AB91/AB237</f>
        <v>11.1989927252378</v>
      </c>
      <c r="AC238" s="20"/>
      <c r="AD238" s="20" t="n">
        <f aca="false">AD91/AD237</f>
        <v>109.763254148539</v>
      </c>
      <c r="AE238" s="20" t="n">
        <f aca="false">AE91/AE237</f>
        <v>100.488583353793</v>
      </c>
      <c r="AF238" s="20" t="n">
        <f aca="false">AF91/AF237</f>
        <v>0</v>
      </c>
      <c r="AG238" s="20" t="n">
        <f aca="false">AG91/AG237</f>
        <v>92.6041135335253</v>
      </c>
      <c r="AH238" s="20" t="n">
        <f aca="false">AH91/AH237</f>
        <v>92.7015001271294</v>
      </c>
      <c r="AI238" s="20" t="n">
        <f aca="false">AI91/AI237</f>
        <v>91.6520807581376</v>
      </c>
      <c r="AJ238" s="20" t="n">
        <f aca="false">AJ91/AJ237</f>
        <v>106.119340671257</v>
      </c>
      <c r="AK238" s="20"/>
      <c r="AL238" s="20" t="n">
        <f aca="false">AL91/AL237</f>
        <v>82.3182766576938</v>
      </c>
      <c r="AM238" s="20" t="n">
        <f aca="false">AM91/AM237</f>
        <v>7.63478127154144</v>
      </c>
      <c r="AN238" s="20" t="n">
        <f aca="false">AN91/AN237</f>
        <v>88.0455319435709</v>
      </c>
      <c r="AO238" s="20" t="n">
        <f aca="false">AO91/AO237</f>
        <v>83.0032358299423</v>
      </c>
      <c r="AP238" s="20" t="n">
        <f aca="false">AP91/AP237</f>
        <v>79.0706769320163</v>
      </c>
      <c r="AQ238" s="20" t="n">
        <f aca="false">AQ91/AQ237</f>
        <v>52.3133395512152</v>
      </c>
      <c r="AR238" s="20" t="n">
        <f aca="false">AR91/AR237</f>
        <v>95.2747932628798</v>
      </c>
      <c r="AS238" s="20" t="n">
        <f aca="false">AS91/AS237</f>
        <v>0</v>
      </c>
      <c r="AT238" s="20" t="n">
        <f aca="false">AT91/AT237</f>
        <v>65.867870649493</v>
      </c>
      <c r="AU238" s="20" t="n">
        <f aca="false">AU91/AU237</f>
        <v>48.7742744565217</v>
      </c>
      <c r="AV238" s="20" t="n">
        <f aca="false">AV91/AV237</f>
        <v>229.372447552448</v>
      </c>
      <c r="AW238" s="20" t="e">
        <f aca="false">AW91/AW237</f>
        <v>#DIV/0!</v>
      </c>
      <c r="AX238" s="20" t="e">
        <f aca="false">AX91/AX237</f>
        <v>#DIV/0!</v>
      </c>
      <c r="AY238" s="20" t="n">
        <f aca="false">AY91/AY237</f>
        <v>68.946923566384</v>
      </c>
      <c r="AZ238" s="20" t="n">
        <f aca="false">AZ91/AZ237</f>
        <v>48.0510384085787</v>
      </c>
      <c r="BA238" s="20" t="n">
        <f aca="false">BA91/BA237</f>
        <v>53.6168392869066</v>
      </c>
      <c r="BB238" s="20" t="n">
        <f aca="false">BB91/BB237</f>
        <v>27.0815402382689</v>
      </c>
      <c r="BC238" s="20" t="n">
        <f aca="false">BC91/BC237</f>
        <v>85.8828402840513</v>
      </c>
      <c r="BD238" s="20" t="e">
        <f aca="false">BD91/BD237</f>
        <v>#DIV/0!</v>
      </c>
      <c r="BE238" s="20" t="n">
        <f aca="false">BE91/BE237</f>
        <v>60.8293347314848</v>
      </c>
    </row>
    <row r="239" customFormat="false" ht="12.75" hidden="false" customHeight="true" outlineLevel="0" collapsed="false">
      <c r="A239" s="1" t="s">
        <v>55</v>
      </c>
      <c r="B239" s="1" t="n">
        <v>2025</v>
      </c>
      <c r="C239" s="1" t="s">
        <v>92</v>
      </c>
      <c r="D239" s="20" t="n">
        <f aca="false">D15/D237</f>
        <v>51.325600542306</v>
      </c>
      <c r="E239" s="20" t="n">
        <f aca="false">E15/E237</f>
        <v>81.4496745094392</v>
      </c>
      <c r="F239" s="20" t="n">
        <f aca="false">F15/F237</f>
        <v>60.0475946088331</v>
      </c>
      <c r="G239" s="20" t="n">
        <f aca="false">G15/G237</f>
        <v>32.0318717240602</v>
      </c>
      <c r="H239" s="20" t="n">
        <f aca="false">H15/H237</f>
        <v>53.5828273835628</v>
      </c>
      <c r="I239" s="20" t="n">
        <f aca="false">I15/I237</f>
        <v>25.3771414928566</v>
      </c>
      <c r="J239" s="20" t="n">
        <f aca="false">J15/J237</f>
        <v>36.8019468139471</v>
      </c>
      <c r="K239" s="20" t="n">
        <f aca="false">K15/K237</f>
        <v>63.3989904466822</v>
      </c>
      <c r="L239" s="20" t="n">
        <f aca="false">L15/L237</f>
        <v>101.755418796697</v>
      </c>
      <c r="M239" s="20" t="n">
        <f aca="false">M15/M237</f>
        <v>118.577357051137</v>
      </c>
      <c r="N239" s="20"/>
      <c r="O239" s="20" t="n">
        <f aca="false">O15/O237</f>
        <v>23.701754542173</v>
      </c>
      <c r="P239" s="20" t="n">
        <f aca="false">P15/P237</f>
        <v>83.0035418127191</v>
      </c>
      <c r="Q239" s="20" t="n">
        <f aca="false">Q15/Q237</f>
        <v>38.1019323015123</v>
      </c>
      <c r="R239" s="20" t="n">
        <f aca="false">R15/R237</f>
        <v>106.693872686899</v>
      </c>
      <c r="S239" s="20" t="n">
        <f aca="false">S15/S237</f>
        <v>49.1158223446376</v>
      </c>
      <c r="T239" s="20" t="n">
        <f aca="false">T15/T237</f>
        <v>52.6217131693022</v>
      </c>
      <c r="U239" s="20" t="n">
        <f aca="false">U15/U237</f>
        <v>85.1343215019719</v>
      </c>
      <c r="V239" s="20" t="n">
        <f aca="false">V15/V237</f>
        <v>110.969240905716</v>
      </c>
      <c r="W239" s="20" t="n">
        <f aca="false">W15/W237</f>
        <v>80.847539060947</v>
      </c>
      <c r="X239" s="20" t="n">
        <f aca="false">X15/X237</f>
        <v>116.686344827586</v>
      </c>
      <c r="Y239" s="20" t="e">
        <f aca="false">Y15/Y237</f>
        <v>#DIV/0!</v>
      </c>
      <c r="Z239" s="20"/>
      <c r="AA239" s="20" t="n">
        <f aca="false">AA15/AA237</f>
        <v>28.7675028693228</v>
      </c>
      <c r="AB239" s="20" t="n">
        <f aca="false">AB15/AB237</f>
        <v>24.4792762544301</v>
      </c>
      <c r="AC239" s="20"/>
      <c r="AD239" s="20" t="n">
        <f aca="false">AD15/AD237</f>
        <v>78.1148500365764</v>
      </c>
      <c r="AE239" s="20" t="n">
        <f aca="false">AE15/AE237</f>
        <v>59.7119240527048</v>
      </c>
      <c r="AF239" s="20" t="n">
        <f aca="false">AF15/AF237</f>
        <v>0</v>
      </c>
      <c r="AG239" s="20" t="n">
        <f aca="false">AG15/AG237</f>
        <v>70.1204442616207</v>
      </c>
      <c r="AH239" s="20" t="n">
        <f aca="false">AH15/AH237</f>
        <v>72.1901291069865</v>
      </c>
      <c r="AI239" s="20" t="n">
        <f aca="false">AI15/AI237</f>
        <v>68.9919241862382</v>
      </c>
      <c r="AJ239" s="20" t="n">
        <f aca="false">AJ15/AJ237</f>
        <v>118.475844493846</v>
      </c>
      <c r="AK239" s="20"/>
      <c r="AL239" s="20" t="n">
        <f aca="false">AL15/AL237</f>
        <v>58.3055540295556</v>
      </c>
      <c r="AM239" s="20" t="n">
        <f aca="false">AM15/AM237</f>
        <v>3.78779362638528</v>
      </c>
      <c r="AN239" s="20" t="n">
        <f aca="false">AN15/AN237</f>
        <v>56.1416569323389</v>
      </c>
      <c r="AO239" s="20" t="n">
        <f aca="false">AO15/AO237</f>
        <v>39.3675105988116</v>
      </c>
      <c r="AP239" s="20" t="n">
        <f aca="false">AP15/AP237</f>
        <v>75.4194654270773</v>
      </c>
      <c r="AQ239" s="20" t="n">
        <f aca="false">AQ15/AQ237</f>
        <v>72.7974433532671</v>
      </c>
      <c r="AR239" s="20" t="n">
        <f aca="false">AR15/AR237</f>
        <v>54.0962681638045</v>
      </c>
      <c r="AS239" s="20" t="n">
        <f aca="false">AS15/AS237</f>
        <v>50.4454355400697</v>
      </c>
      <c r="AT239" s="20" t="n">
        <f aca="false">AT15/AT237</f>
        <v>44.7097835023294</v>
      </c>
      <c r="AU239" s="20" t="n">
        <f aca="false">AU15/AU237</f>
        <v>94.4807065217391</v>
      </c>
      <c r="AV239" s="20" t="n">
        <f aca="false">AV15/AV237</f>
        <v>0</v>
      </c>
      <c r="AW239" s="20" t="e">
        <f aca="false">AW15/AW237</f>
        <v>#DIV/0!</v>
      </c>
      <c r="AX239" s="20" t="e">
        <f aca="false">AX15/AX237</f>
        <v>#DIV/0!</v>
      </c>
      <c r="AY239" s="20" t="n">
        <f aca="false">AY15/AY237</f>
        <v>49.5057898366994</v>
      </c>
      <c r="AZ239" s="20" t="n">
        <f aca="false">AZ15/AZ237</f>
        <v>48.2765671130872</v>
      </c>
      <c r="BA239" s="20" t="n">
        <f aca="false">BA15/BA237</f>
        <v>59.1927112683893</v>
      </c>
      <c r="BB239" s="20" t="n">
        <f aca="false">BB15/BB237</f>
        <v>25.2741308047654</v>
      </c>
      <c r="BC239" s="20" t="n">
        <f aca="false">BC15/BC237</f>
        <v>66.3674999142357</v>
      </c>
      <c r="BD239" s="20" t="e">
        <f aca="false">BD15/BD237</f>
        <v>#DIV/0!</v>
      </c>
      <c r="BE239" s="20" t="n">
        <f aca="false">BE15/BE237</f>
        <v>53.9678362159075</v>
      </c>
    </row>
    <row r="240" customFormat="false" ht="12.75" hidden="false" customHeight="true" outlineLevel="0" collapsed="false">
      <c r="A240" s="1" t="s">
        <v>79</v>
      </c>
      <c r="B240" s="1" t="n">
        <v>2025</v>
      </c>
      <c r="C240" s="1" t="s">
        <v>92</v>
      </c>
      <c r="D240" s="20" t="n">
        <f aca="false">D93/D237</f>
        <v>5.57300117088803</v>
      </c>
      <c r="E240" s="20" t="n">
        <f aca="false">E93/E237</f>
        <v>21.9780851855296</v>
      </c>
      <c r="F240" s="20" t="n">
        <f aca="false">F93/F237</f>
        <v>12.5216046184915</v>
      </c>
      <c r="G240" s="20" t="n">
        <f aca="false">G93/G237</f>
        <v>9.48268274812602</v>
      </c>
      <c r="H240" s="20" t="n">
        <f aca="false">H93/H237</f>
        <v>8.92889176388036</v>
      </c>
      <c r="I240" s="20" t="n">
        <f aca="false">I93/I237</f>
        <v>7.16012128504851</v>
      </c>
      <c r="J240" s="20" t="n">
        <f aca="false">J93/J237</f>
        <v>8.03725578835646</v>
      </c>
      <c r="K240" s="20" t="n">
        <f aca="false">K93/K237</f>
        <v>3.15356312935709</v>
      </c>
      <c r="L240" s="20" t="n">
        <f aca="false">L93/L237</f>
        <v>5.79821863940228</v>
      </c>
      <c r="M240" s="20" t="n">
        <f aca="false">M93/M237</f>
        <v>16.9886789032404</v>
      </c>
      <c r="N240" s="20"/>
      <c r="O240" s="20" t="n">
        <f aca="false">O93/O237</f>
        <v>12.4814898327518</v>
      </c>
      <c r="P240" s="20" t="n">
        <f aca="false">P93/P237</f>
        <v>32.2094131196795</v>
      </c>
      <c r="Q240" s="20" t="n">
        <f aca="false">Q93/Q237</f>
        <v>10.7581949039067</v>
      </c>
      <c r="R240" s="20" t="n">
        <f aca="false">R93/R237</f>
        <v>66.9507268689859</v>
      </c>
      <c r="S240" s="20" t="n">
        <f aca="false">S93/S237</f>
        <v>27.7285739369943</v>
      </c>
      <c r="T240" s="20" t="n">
        <f aca="false">T93/T237</f>
        <v>22.1355534525917</v>
      </c>
      <c r="U240" s="20" t="n">
        <f aca="false">U93/U237</f>
        <v>17.2839260123313</v>
      </c>
      <c r="V240" s="20" t="n">
        <f aca="false">V93/V237</f>
        <v>10.039024684484</v>
      </c>
      <c r="W240" s="20" t="n">
        <f aca="false">W93/W237</f>
        <v>22.853093467976</v>
      </c>
      <c r="X240" s="20" t="n">
        <f aca="false">X93/X237</f>
        <v>17.3197706495589</v>
      </c>
      <c r="Y240" s="20" t="e">
        <f aca="false">Y93/Y237</f>
        <v>#DIV/0!</v>
      </c>
      <c r="Z240" s="20"/>
      <c r="AA240" s="20" t="n">
        <f aca="false">AA93/AA237</f>
        <v>17.4925397606165</v>
      </c>
      <c r="AB240" s="20" t="n">
        <f aca="false">AB93/AB237</f>
        <v>12.3830255549338</v>
      </c>
      <c r="AC240" s="20"/>
      <c r="AD240" s="20" t="n">
        <f aca="false">AD93/AD237</f>
        <v>0</v>
      </c>
      <c r="AE240" s="20" t="n">
        <f aca="false">AE93/AE237</f>
        <v>6.80595793436451</v>
      </c>
      <c r="AF240" s="20" t="n">
        <f aca="false">AF93/AF237</f>
        <v>0</v>
      </c>
      <c r="AG240" s="20" t="n">
        <f aca="false">AG93/AG237</f>
        <v>8.04545454545455</v>
      </c>
      <c r="AH240" s="20" t="n">
        <f aca="false">AH93/AH237</f>
        <v>7.68423877729751</v>
      </c>
      <c r="AI240" s="20" t="n">
        <f aca="false">AI93/AI237</f>
        <v>5.48533168520808</v>
      </c>
      <c r="AJ240" s="20" t="n">
        <f aca="false">AJ93/AJ237</f>
        <v>22.9027815431329</v>
      </c>
      <c r="AK240" s="20"/>
      <c r="AL240" s="20" t="n">
        <f aca="false">AL93/AL237</f>
        <v>12.6289622589683</v>
      </c>
      <c r="AM240" s="20" t="n">
        <f aca="false">AM93/AM237</f>
        <v>20.2266291956095</v>
      </c>
      <c r="AN240" s="20" t="n">
        <f aca="false">AN93/AN237</f>
        <v>12.7680384580825</v>
      </c>
      <c r="AO240" s="20" t="n">
        <f aca="false">AO93/AO237</f>
        <v>9.2414145369724</v>
      </c>
      <c r="AP240" s="20" t="n">
        <f aca="false">AP93/AP237</f>
        <v>24.1929110981987</v>
      </c>
      <c r="AQ240" s="20" t="n">
        <f aca="false">AQ93/AQ237</f>
        <v>30.0213968288802</v>
      </c>
      <c r="AR240" s="20" t="n">
        <f aca="false">AR93/AR237</f>
        <v>11.0976552179657</v>
      </c>
      <c r="AS240" s="20" t="n">
        <f aca="false">AS93/AS237</f>
        <v>15.5549400696864</v>
      </c>
      <c r="AT240" s="20" t="n">
        <f aca="false">AT93/AT237</f>
        <v>12.6123020005481</v>
      </c>
      <c r="AU240" s="20" t="n">
        <f aca="false">AU93/AU237</f>
        <v>12.6118369565217</v>
      </c>
      <c r="AV240" s="20" t="n">
        <f aca="false">AV93/AV237</f>
        <v>99.2676923076923</v>
      </c>
      <c r="AW240" s="20" t="e">
        <f aca="false">AW93/AW237</f>
        <v>#DIV/0!</v>
      </c>
      <c r="AX240" s="20" t="e">
        <f aca="false">AX93/AX237</f>
        <v>#DIV/0!</v>
      </c>
      <c r="AY240" s="20" t="n">
        <f aca="false">AY93/AY237</f>
        <v>15.0386932066564</v>
      </c>
      <c r="AZ240" s="20" t="n">
        <f aca="false">AZ93/AZ237</f>
        <v>8.96980891866735</v>
      </c>
      <c r="BA240" s="20" t="n">
        <f aca="false">BA93/BA237</f>
        <v>19.8992006854955</v>
      </c>
      <c r="BB240" s="20" t="n">
        <f aca="false">BB93/BB237</f>
        <v>13.3301118405057</v>
      </c>
      <c r="BC240" s="20" t="n">
        <f aca="false">BC93/BC237</f>
        <v>6.80072385047285</v>
      </c>
      <c r="BD240" s="20" t="e">
        <f aca="false">BD93/BD237</f>
        <v>#DIV/0!</v>
      </c>
      <c r="BE240" s="20" t="n">
        <f aca="false">BE93/BE237</f>
        <v>12.8313062474884</v>
      </c>
    </row>
    <row r="241" customFormat="false" ht="12.75" hidden="false" customHeight="true" outlineLevel="0" collapsed="false">
      <c r="A241" s="1" t="s">
        <v>59</v>
      </c>
      <c r="B241" s="1" t="n">
        <v>2025</v>
      </c>
      <c r="C241" s="1" t="s">
        <v>92</v>
      </c>
      <c r="D241" s="20" t="n">
        <f aca="false">D23/D237</f>
        <v>0</v>
      </c>
      <c r="E241" s="20" t="n">
        <f aca="false">E23/E237</f>
        <v>92.5057807123593</v>
      </c>
      <c r="F241" s="20" t="n">
        <f aca="false">F23/F237</f>
        <v>43.9355536043551</v>
      </c>
      <c r="G241" s="20" t="n">
        <f aca="false">G23/G237</f>
        <v>40.7876204700445</v>
      </c>
      <c r="H241" s="20" t="n">
        <f aca="false">H23/H237</f>
        <v>54.4342601526182</v>
      </c>
      <c r="I241" s="20" t="n">
        <f aca="false">I23/I237</f>
        <v>41.3760562304225</v>
      </c>
      <c r="J241" s="20" t="n">
        <f aca="false">J23/J237</f>
        <v>41.0051910452455</v>
      </c>
      <c r="K241" s="20" t="n">
        <f aca="false">K23/K237</f>
        <v>48.7167776917119</v>
      </c>
      <c r="L241" s="20" t="n">
        <f aca="false">L23/L237</f>
        <v>80.0255695372919</v>
      </c>
      <c r="M241" s="20" t="n">
        <f aca="false">M23/M237</f>
        <v>134.816769393459</v>
      </c>
      <c r="N241" s="20"/>
      <c r="O241" s="20" t="n">
        <f aca="false">O23/O237</f>
        <v>39.8680519793045</v>
      </c>
      <c r="P241" s="20" t="n">
        <f aca="false">P23/P237</f>
        <v>58.3248072108162</v>
      </c>
      <c r="Q241" s="20" t="n">
        <f aca="false">Q23/Q237</f>
        <v>34.1589697542533</v>
      </c>
      <c r="R241" s="20" t="n">
        <f aca="false">R23/R237</f>
        <v>83.0443227239082</v>
      </c>
      <c r="S241" s="20" t="n">
        <f aca="false">S23/S237</f>
        <v>42.7537338612498</v>
      </c>
      <c r="T241" s="20" t="n">
        <f aca="false">T23/T237</f>
        <v>78.1168105500946</v>
      </c>
      <c r="U241" s="20" t="n">
        <f aca="false">U23/U237</f>
        <v>64.0007237682608</v>
      </c>
      <c r="V241" s="20" t="n">
        <f aca="false">V23/V237</f>
        <v>77.5311627691166</v>
      </c>
      <c r="W241" s="20" t="n">
        <f aca="false">W23/W237</f>
        <v>60.188458633165</v>
      </c>
      <c r="X241" s="20" t="n">
        <f aca="false">X23/X237</f>
        <v>101.804704089816</v>
      </c>
      <c r="Y241" s="20" t="e">
        <f aca="false">Y23/Y237</f>
        <v>#DIV/0!</v>
      </c>
      <c r="Z241" s="20"/>
      <c r="AA241" s="20" t="n">
        <f aca="false">AA23/AA237</f>
        <v>47.4141662567634</v>
      </c>
      <c r="AB241" s="20" t="n">
        <f aca="false">AB23/AB237</f>
        <v>25.1696698377168</v>
      </c>
      <c r="AC241" s="20"/>
      <c r="AD241" s="20" t="n">
        <f aca="false">AD23/AD237</f>
        <v>120.647518576984</v>
      </c>
      <c r="AE241" s="20" t="n">
        <f aca="false">AE23/AE237</f>
        <v>85.2228087404861</v>
      </c>
      <c r="AF241" s="20" t="n">
        <f aca="false">AF23/AF237</f>
        <v>0</v>
      </c>
      <c r="AG241" s="20" t="n">
        <f aca="false">AG23/AG237</f>
        <v>64.5055944055944</v>
      </c>
      <c r="AH241" s="20" t="n">
        <f aca="false">AH23/AH237</f>
        <v>61.4022657287341</v>
      </c>
      <c r="AI241" s="20" t="n">
        <f aca="false">AI23/AI237</f>
        <v>61.4552533992583</v>
      </c>
      <c r="AJ241" s="20" t="n">
        <f aca="false">AJ23/AJ237</f>
        <v>97.4677113267907</v>
      </c>
      <c r="AK241" s="20"/>
      <c r="AL241" s="20" t="n">
        <f aca="false">AL23/AL237</f>
        <v>101.453605999011</v>
      </c>
      <c r="AM241" s="20" t="n">
        <f aca="false">AM23/AM237</f>
        <v>73.6828612333634</v>
      </c>
      <c r="AN241" s="20" t="n">
        <f aca="false">AN23/AN237</f>
        <v>66.1759120316291</v>
      </c>
      <c r="AO241" s="20" t="n">
        <f aca="false">AO23/AO237</f>
        <v>43.7029331040471</v>
      </c>
      <c r="AP241" s="20" t="n">
        <f aca="false">AP23/AP237</f>
        <v>85.3584166182452</v>
      </c>
      <c r="AQ241" s="20" t="n">
        <f aca="false">AQ23/AQ237</f>
        <v>86.3803193065233</v>
      </c>
      <c r="AR241" s="20" t="n">
        <f aca="false">AR23/AR237</f>
        <v>41.3141710700132</v>
      </c>
      <c r="AS241" s="20" t="n">
        <f aca="false">AS23/AS237</f>
        <v>115.102431358885</v>
      </c>
      <c r="AT241" s="20" t="n">
        <f aca="false">AT23/AT237</f>
        <v>76.0579336804604</v>
      </c>
      <c r="AU241" s="20" t="n">
        <f aca="false">AU23/AU237</f>
        <v>107.909048913043</v>
      </c>
      <c r="AV241" s="20" t="n">
        <f aca="false">AV23/AV237</f>
        <v>2719.59016317016</v>
      </c>
      <c r="AW241" s="20" t="e">
        <f aca="false">AW23/AW237</f>
        <v>#DIV/0!</v>
      </c>
      <c r="AX241" s="20" t="e">
        <f aca="false">AX23/AX237</f>
        <v>#DIV/0!</v>
      </c>
      <c r="AY241" s="20" t="n">
        <f aca="false">AY23/AY237</f>
        <v>74.20534952739</v>
      </c>
      <c r="AZ241" s="20" t="n">
        <f aca="false">AZ23/AZ237</f>
        <v>45.7626700231544</v>
      </c>
      <c r="BA241" s="20" t="n">
        <f aca="false">BA23/BA237</f>
        <v>53.8678719814827</v>
      </c>
      <c r="BB241" s="20" t="n">
        <f aca="false">BB23/BB237</f>
        <v>29.2928519328957</v>
      </c>
      <c r="BC241" s="20" t="n">
        <f aca="false">BC23/BC237</f>
        <v>70.0234193644296</v>
      </c>
      <c r="BD241" s="20" t="e">
        <f aca="false">BD23/BD237</f>
        <v>#DIV/0!</v>
      </c>
      <c r="BE241" s="20" t="n">
        <f aca="false">BE23/BE237</f>
        <v>58.4282187928921</v>
      </c>
    </row>
    <row r="242" customFormat="false" ht="12.75" hidden="false" customHeight="true" outlineLevel="0" collapsed="false">
      <c r="A242" s="1" t="s">
        <v>51</v>
      </c>
      <c r="B242" s="1" t="n">
        <v>2025</v>
      </c>
      <c r="C242" s="1" t="s">
        <v>92</v>
      </c>
      <c r="D242" s="20" t="n">
        <f aca="false">D11/D237</f>
        <v>34.62747550379</v>
      </c>
      <c r="E242" s="20" t="n">
        <f aca="false">E11/E237</f>
        <v>37.8647819213243</v>
      </c>
      <c r="F242" s="20" t="n">
        <f aca="false">F11/F237</f>
        <v>49.0474857318465</v>
      </c>
      <c r="G242" s="20" t="n">
        <f aca="false">G11/G237</f>
        <v>23.4165907681903</v>
      </c>
      <c r="H242" s="20" t="n">
        <f aca="false">H11/H237</f>
        <v>35.6419086045084</v>
      </c>
      <c r="I242" s="20" t="n">
        <f aca="false">I11/I237</f>
        <v>36.0853531591413</v>
      </c>
      <c r="J242" s="20" t="n">
        <f aca="false">J11/J237</f>
        <v>31.4565507685051</v>
      </c>
      <c r="K242" s="20" t="n">
        <f aca="false">K11/K237</f>
        <v>25.434735347276</v>
      </c>
      <c r="L242" s="20" t="n">
        <f aca="false">L11/L237</f>
        <v>18.5827880456154</v>
      </c>
      <c r="M242" s="20" t="n">
        <f aca="false">M11/M237</f>
        <v>5.52433869627615</v>
      </c>
      <c r="N242" s="20"/>
      <c r="O242" s="20" t="n">
        <f aca="false">O11/O237</f>
        <v>47.1406740464445</v>
      </c>
      <c r="P242" s="20" t="n">
        <f aca="false">P11/P237</f>
        <v>27.3120826239359</v>
      </c>
      <c r="Q242" s="20" t="n">
        <f aca="false">Q11/Q237</f>
        <v>49.385652173913</v>
      </c>
      <c r="R242" s="20" t="n">
        <f aca="false">R11/R237</f>
        <v>0</v>
      </c>
      <c r="S242" s="20" t="n">
        <f aca="false">S11/S237</f>
        <v>23.03925116199</v>
      </c>
      <c r="T242" s="20" t="n">
        <f aca="false">T11/T237</f>
        <v>42.6822400634959</v>
      </c>
      <c r="U242" s="20" t="n">
        <f aca="false">U11/U237</f>
        <v>21.0543348330834</v>
      </c>
      <c r="V242" s="20" t="n">
        <f aca="false">V11/V237</f>
        <v>110.737132516704</v>
      </c>
      <c r="W242" s="20" t="n">
        <f aca="false">W11/W237</f>
        <v>34.0670015505109</v>
      </c>
      <c r="X242" s="20" t="n">
        <f aca="false">X11/X237</f>
        <v>9.91713712910986</v>
      </c>
      <c r="Y242" s="20"/>
      <c r="Z242" s="20"/>
      <c r="AA242" s="20" t="n">
        <f aca="false">AA11/AA237</f>
        <v>56.0806689621249</v>
      </c>
      <c r="AB242" s="20" t="n">
        <f aca="false">AB11/AB237</f>
        <v>11.1989927252378</v>
      </c>
      <c r="AC242" s="20"/>
      <c r="AD242" s="20" t="n">
        <f aca="false">AD11/AD237</f>
        <v>76.5173064336041</v>
      </c>
      <c r="AE242" s="20" t="n">
        <f aca="false">AE11/AE237</f>
        <v>59.4346918733121</v>
      </c>
      <c r="AF242" s="20" t="n">
        <f aca="false">AF11/AF237</f>
        <v>0</v>
      </c>
      <c r="AG242" s="20" t="n">
        <f aca="false">AG11/AG237</f>
        <v>59.9522418757713</v>
      </c>
      <c r="AH242" s="20" t="n">
        <f aca="false">AH11/AH237</f>
        <v>63.236149956211</v>
      </c>
      <c r="AI242" s="20" t="n">
        <f aca="false">AI11/AI237</f>
        <v>51.5290482076638</v>
      </c>
      <c r="AJ242" s="20" t="n">
        <f aca="false">AJ11/AJ237</f>
        <v>74.616331399447</v>
      </c>
      <c r="AK242" s="20"/>
      <c r="AL242" s="20" t="n">
        <f aca="false">AL11/AL237</f>
        <v>72.5305493599956</v>
      </c>
      <c r="AM242" s="20" t="n">
        <f aca="false">AM11/AM237</f>
        <v>3.71175566042738</v>
      </c>
      <c r="AN242" s="20" t="n">
        <f aca="false">AN11/AN237</f>
        <v>88.0455319435709</v>
      </c>
      <c r="AO242" s="20" t="n">
        <f aca="false">AO11/AO237</f>
        <v>83.0032358299423</v>
      </c>
      <c r="AP242" s="20" t="n">
        <f aca="false">AP11/AP237</f>
        <v>69.9242184776293</v>
      </c>
      <c r="AQ242" s="20" t="n">
        <f aca="false">AQ11/AQ237</f>
        <v>47.8367899270313</v>
      </c>
      <c r="AR242" s="20" t="n">
        <f aca="false">AR11/AR237</f>
        <v>69.8642116908851</v>
      </c>
      <c r="AS242" s="20" t="n">
        <f aca="false">AS11/AS237</f>
        <v>0</v>
      </c>
      <c r="AT242" s="20" t="n">
        <f aca="false">AT11/AT237</f>
        <v>65.867870649493</v>
      </c>
      <c r="AU242" s="20" t="n">
        <f aca="false">AU11/AU237</f>
        <v>22.2039945652174</v>
      </c>
      <c r="AV242" s="20"/>
      <c r="AW242" s="20"/>
      <c r="AX242" s="20"/>
      <c r="AY242" s="20" t="n">
        <f aca="false">AY11/AY237</f>
        <v>62.3490063532772</v>
      </c>
      <c r="AZ242" s="20" t="n">
        <f aca="false">AZ11/AZ237</f>
        <v>31.8930198389194</v>
      </c>
      <c r="BA242" s="20" t="n">
        <f aca="false">BA11/BA237</f>
        <v>39.5368503705682</v>
      </c>
      <c r="BB242" s="20" t="n">
        <f aca="false">BB11/BB237</f>
        <v>19.5181436907367</v>
      </c>
      <c r="BC242" s="20" t="n">
        <f aca="false">BC11/BC237</f>
        <v>55.8177737881508</v>
      </c>
      <c r="BD242" s="20"/>
      <c r="BE242" s="20" t="n">
        <f aca="false">BE11/BE237</f>
        <v>44.9891695024874</v>
      </c>
    </row>
    <row r="243" customFormat="false" ht="12.75" hidden="false" customHeight="true" outlineLevel="0" collapsed="false">
      <c r="A243" s="1" t="s">
        <v>54</v>
      </c>
      <c r="B243" s="1" t="n">
        <v>2025</v>
      </c>
      <c r="C243" s="1" t="s">
        <v>92</v>
      </c>
      <c r="D243" s="20" t="n">
        <f aca="false">D13/D237</f>
        <v>19.3824074074074</v>
      </c>
      <c r="E243" s="20" t="n">
        <f aca="false">E13/E237</f>
        <v>0</v>
      </c>
      <c r="F243" s="20" t="n">
        <f aca="false">F13/F237</f>
        <v>0</v>
      </c>
      <c r="G243" s="20" t="n">
        <f aca="false">G13/G237</f>
        <v>25.4317919742997</v>
      </c>
      <c r="H243" s="20" t="n">
        <f aca="false">H13/H237</f>
        <v>36.7654609244803</v>
      </c>
      <c r="I243" s="20" t="n">
        <f aca="false">I13/I237</f>
        <v>16.3370964168386</v>
      </c>
      <c r="J243" s="20" t="n">
        <f aca="false">J13/J237</f>
        <v>12.3312152600338</v>
      </c>
      <c r="K243" s="20" t="n">
        <f aca="false">K13/K237</f>
        <v>0</v>
      </c>
      <c r="L243" s="20" t="n">
        <f aca="false">L13/L237</f>
        <v>14.0147476733517</v>
      </c>
      <c r="M243" s="20" t="n">
        <f aca="false">M13/M237</f>
        <v>18.2416738424352</v>
      </c>
      <c r="O243" s="20" t="n">
        <f aca="false">O13/O237</f>
        <v>1.160416797016</v>
      </c>
      <c r="P243" s="20" t="n">
        <f aca="false">P13/P237</f>
        <v>19.252169754632</v>
      </c>
      <c r="Q243" s="20" t="n">
        <f aca="false">Q13/Q237</f>
        <v>7.92686160995589</v>
      </c>
      <c r="R243" s="20" t="n">
        <f aca="false">R13/R237</f>
        <v>10.5125995558845</v>
      </c>
      <c r="S243" s="20" t="n">
        <f aca="false">S13/S237</f>
        <v>17.4529839903598</v>
      </c>
      <c r="T243" s="20" t="n">
        <f aca="false">T13/T237</f>
        <v>19.3536638378411</v>
      </c>
      <c r="U243" s="20" t="n">
        <f aca="false">U13/U237</f>
        <v>20.322751763595</v>
      </c>
      <c r="V243" s="20" t="n">
        <f aca="false">V13/V237</f>
        <v>0</v>
      </c>
      <c r="W243" s="20" t="n">
        <f aca="false">W13/W237</f>
        <v>35.3903900131197</v>
      </c>
      <c r="X243" s="20" t="n">
        <f aca="false">X13/X237</f>
        <v>22.3690874097835</v>
      </c>
      <c r="AA243" s="20" t="n">
        <f aca="false">AA13/AA237</f>
        <v>40.8043941629775</v>
      </c>
      <c r="AB243" s="20" t="n">
        <f aca="false">AB13/AB237</f>
        <v>0</v>
      </c>
      <c r="AD243" s="20" t="n">
        <f aca="false">AD13/AD237</f>
        <v>33.2459477149347</v>
      </c>
      <c r="AE243" s="20" t="n">
        <f aca="false">AE13/AE237</f>
        <v>41.0538914804812</v>
      </c>
      <c r="AF243" s="20" t="n">
        <f aca="false">AF13/AF237</f>
        <v>0</v>
      </c>
      <c r="AG243" s="20" t="n">
        <f aca="false">AG13/AG237</f>
        <v>32.651871657754</v>
      </c>
      <c r="AH243" s="20" t="n">
        <f aca="false">AH13/AH237</f>
        <v>29.4653501709184</v>
      </c>
      <c r="AI243" s="20" t="n">
        <f aca="false">AI13/AI237</f>
        <v>40.1230325504738</v>
      </c>
      <c r="AJ243" s="20" t="n">
        <f aca="false">AJ13/AJ237</f>
        <v>31.5030092718104</v>
      </c>
      <c r="AL243" s="20" t="n">
        <f aca="false">AL13/AL237</f>
        <v>9.78772729769818</v>
      </c>
      <c r="AM243" s="20" t="n">
        <f aca="false">AM13/AM237</f>
        <v>3.92302561111406</v>
      </c>
      <c r="AN243" s="20" t="n">
        <f aca="false">AN13/AN237</f>
        <v>0</v>
      </c>
      <c r="AO243" s="20" t="n">
        <f aca="false">AO13/AO237</f>
        <v>0</v>
      </c>
      <c r="AP243" s="20" t="n">
        <f aca="false">AP13/AP237</f>
        <v>9.14645845438698</v>
      </c>
      <c r="AQ243" s="20" t="n">
        <f aca="false">AQ13/AQ237</f>
        <v>4.4765496241839</v>
      </c>
      <c r="AR243" s="20" t="n">
        <f aca="false">AR13/AR237</f>
        <v>25.4105815719947</v>
      </c>
      <c r="AS243" s="20" t="n">
        <f aca="false">AS13/AS237</f>
        <v>0</v>
      </c>
      <c r="AT243" s="20" t="n">
        <f aca="false">AT13/AT237</f>
        <v>0</v>
      </c>
      <c r="AU243" s="20" t="n">
        <f aca="false">AU13/AU237</f>
        <v>26.5702798913044</v>
      </c>
      <c r="AY243" s="20" t="n">
        <f aca="false">AY13/AY237</f>
        <v>6.59791721310679</v>
      </c>
      <c r="AZ243" s="20" t="n">
        <f aca="false">AZ13/AZ237</f>
        <v>16.1580185696593</v>
      </c>
      <c r="BA243" s="20" t="n">
        <f aca="false">BA13/BA237</f>
        <v>14.0799889163384</v>
      </c>
      <c r="BB243" s="20" t="n">
        <f aca="false">BB13/BB237</f>
        <v>7.56339654753222</v>
      </c>
      <c r="BC243" s="20" t="n">
        <f aca="false">BC13/BC237</f>
        <v>30.0650664959005</v>
      </c>
      <c r="BE243" s="20" t="n">
        <f aca="false">BE13/BE237</f>
        <v>15.8401652289974</v>
      </c>
    </row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>
      <c r="A249" s="1" t="s">
        <v>123</v>
      </c>
    </row>
    <row r="250" customFormat="false" ht="12.75" hidden="false" customHeight="true" outlineLevel="0" collapsed="false"/>
    <row r="251" customFormat="false" ht="12.75" hidden="false" customHeight="true" outlineLevel="0" collapsed="false">
      <c r="A251" s="1" t="s">
        <v>124</v>
      </c>
      <c r="B251" s="2"/>
      <c r="C251" s="13" t="n">
        <f aca="false">BE24</f>
        <v>898329</v>
      </c>
    </row>
    <row r="252" customFormat="false" ht="12.75" hidden="false" customHeight="true" outlineLevel="0" collapsed="false">
      <c r="A252" s="1" t="s">
        <v>125</v>
      </c>
      <c r="B252" s="2"/>
      <c r="C252" s="1" t="n">
        <f aca="false">C251/COUNTIF(D5:AS5, "&lt;&gt;")</f>
        <v>23640.2368421053</v>
      </c>
    </row>
    <row r="253" customFormat="false" ht="12.75" hidden="false" customHeight="true" outlineLevel="0" collapsed="false">
      <c r="A253" s="1" t="s">
        <v>126</v>
      </c>
      <c r="B253" s="2"/>
      <c r="C253" s="13" t="n">
        <f aca="false">BE89</f>
        <v>167140125.65</v>
      </c>
    </row>
    <row r="254" customFormat="false" ht="12.75" hidden="false" customHeight="true" outlineLevel="0" collapsed="false">
      <c r="A254" s="1" t="s">
        <v>127</v>
      </c>
      <c r="C254" s="1" t="n">
        <f aca="false">C253/C251</f>
        <v>186.056695987773</v>
      </c>
    </row>
    <row r="255" customFormat="false" ht="12.75" hidden="false" customHeight="true" outlineLevel="0" collapsed="false">
      <c r="A255" s="1" t="s">
        <v>128</v>
      </c>
      <c r="C255" s="1" t="n">
        <f aca="false">BE23/C251</f>
        <v>58.4282187928921</v>
      </c>
    </row>
    <row r="256" customFormat="false" ht="12.75" hidden="false" customHeight="true" outlineLevel="0" collapsed="false">
      <c r="A256" s="1" t="s">
        <v>91</v>
      </c>
      <c r="C256" s="13" t="n">
        <f aca="false">BE125</f>
        <v>1497444</v>
      </c>
    </row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>
      <c r="A260" s="1" t="s">
        <v>129</v>
      </c>
      <c r="C260" s="1" t="s">
        <v>130</v>
      </c>
    </row>
    <row r="261" customFormat="false" ht="12.75" hidden="false" customHeight="true" outlineLevel="0" collapsed="false">
      <c r="A261" s="1" t="s">
        <v>51</v>
      </c>
      <c r="B261" s="21" t="n">
        <f aca="false">BE116</f>
        <v>155.442598653846</v>
      </c>
      <c r="C261" s="22" t="n">
        <f aca="false">BE147</f>
        <v>2742.67802836588</v>
      </c>
    </row>
    <row r="262" customFormat="false" ht="12.75" hidden="false" customHeight="true" outlineLevel="0" collapsed="false">
      <c r="A262" s="1" t="s">
        <v>54</v>
      </c>
      <c r="B262" s="21" t="n">
        <f aca="false">BE117</f>
        <v>88.9354986875</v>
      </c>
      <c r="C262" s="22" t="n">
        <f aca="false">BE148</f>
        <v>1804.06027253267</v>
      </c>
    </row>
    <row r="263" customFormat="false" ht="12.75" hidden="false" customHeight="true" outlineLevel="0" collapsed="false">
      <c r="A263" s="1" t="s">
        <v>55</v>
      </c>
      <c r="B263" s="21" t="n">
        <f aca="false">BE119</f>
        <v>484.8087234</v>
      </c>
      <c r="C263" s="22" t="n">
        <f aca="false">BE149</f>
        <v>1729.43257728518</v>
      </c>
    </row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>
      <c r="A267" s="23" t="s">
        <v>131</v>
      </c>
    </row>
    <row r="268" customFormat="false" ht="12.75" hidden="false" customHeight="true" outlineLevel="0" collapsed="false">
      <c r="A268" s="1" t="s">
        <v>132</v>
      </c>
      <c r="C268" s="21" t="n">
        <f aca="false">BE118</f>
        <v>244.378097341346</v>
      </c>
    </row>
    <row r="269" customFormat="false" ht="12.75" hidden="false" customHeight="true" outlineLevel="0" collapsed="false">
      <c r="A269" s="1" t="s">
        <v>133</v>
      </c>
      <c r="C269" s="21" t="n">
        <f aca="false">BE119</f>
        <v>484.8087234</v>
      </c>
    </row>
    <row r="270" customFormat="false" ht="12.75" hidden="false" customHeight="true" outlineLevel="0" collapsed="false">
      <c r="A270" s="1" t="s">
        <v>134</v>
      </c>
      <c r="C270" s="21" t="n">
        <f aca="false">BE120</f>
        <v>1.9838468695614</v>
      </c>
    </row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>
      <c r="A277" s="11" t="s">
        <v>135</v>
      </c>
    </row>
    <row r="278" customFormat="false" ht="12.75" hidden="false" customHeight="true" outlineLevel="0" collapsed="false">
      <c r="D278" s="2" t="n">
        <v>2023</v>
      </c>
      <c r="E278" s="2" t="n">
        <v>2024</v>
      </c>
      <c r="F278" s="2" t="n">
        <v>2025</v>
      </c>
    </row>
    <row r="279" customFormat="false" ht="12.75" hidden="false" customHeight="true" outlineLevel="0" collapsed="false">
      <c r="A279" s="1" t="s">
        <v>51</v>
      </c>
      <c r="D279" s="14" t="n">
        <f aca="false">BE64</f>
        <v>22335487</v>
      </c>
      <c r="E279" s="14" t="n">
        <f aca="false">BE45</f>
        <v>32799656</v>
      </c>
      <c r="F279" s="14" t="n">
        <f aca="false">BE11</f>
        <v>40415075.65</v>
      </c>
    </row>
    <row r="280" customFormat="false" ht="12.75" hidden="false" customHeight="true" outlineLevel="0" collapsed="false">
      <c r="A280" s="1" t="s">
        <v>54</v>
      </c>
      <c r="D280" s="14" t="n">
        <f aca="false">BE66</f>
        <v>6748420</v>
      </c>
      <c r="E280" s="14" t="n">
        <f aca="false">BE47</f>
        <v>10493645</v>
      </c>
      <c r="F280" s="14" t="n">
        <f aca="false">BE13</f>
        <v>14229679.79</v>
      </c>
    </row>
    <row r="281" customFormat="false" ht="12.75" hidden="false" customHeight="true" outlineLevel="0" collapsed="false">
      <c r="A281" s="1" t="s">
        <v>78</v>
      </c>
      <c r="D281" s="14" t="n">
        <f aca="false">D279+D280</f>
        <v>29083907</v>
      </c>
      <c r="E281" s="14" t="n">
        <f aca="false">E279+E280</f>
        <v>43293301</v>
      </c>
      <c r="F281" s="14" t="n">
        <f aca="false">F279+F280</f>
        <v>54644755.44</v>
      </c>
    </row>
    <row r="282" customFormat="false" ht="12.75" hidden="false" customHeight="true" outlineLevel="0" collapsed="false">
      <c r="A282" s="1" t="s">
        <v>55</v>
      </c>
      <c r="D282" s="14" t="n">
        <f aca="false">BE68</f>
        <v>20531791</v>
      </c>
      <c r="E282" s="14" t="n">
        <f aca="false">BE49</f>
        <v>37953373</v>
      </c>
      <c r="F282" s="14" t="n">
        <f aca="false">BE15</f>
        <v>48480872.34</v>
      </c>
    </row>
    <row r="283" customFormat="false" ht="12.75" hidden="false" customHeight="true" outlineLevel="0" collapsed="false">
      <c r="A283" s="1" t="s">
        <v>59</v>
      </c>
      <c r="D283" s="14" t="n">
        <f aca="false">BE76</f>
        <v>28790918</v>
      </c>
      <c r="E283" s="14" t="n">
        <f aca="false">BE57</f>
        <v>40290765</v>
      </c>
      <c r="F283" s="14" t="n">
        <f aca="false">BE23</f>
        <v>52487763.36</v>
      </c>
    </row>
    <row r="284" customFormat="false" ht="12.75" hidden="false" customHeight="true" outlineLevel="0" collapsed="false">
      <c r="A284" s="1" t="s">
        <v>73</v>
      </c>
      <c r="D284" s="14" t="n">
        <f aca="false">BE77</f>
        <v>694745</v>
      </c>
      <c r="E284" s="14" t="n">
        <f aca="false">BE58</f>
        <v>716347</v>
      </c>
      <c r="F284" s="14" t="n">
        <f aca="false">BE24</f>
        <v>898329</v>
      </c>
    </row>
    <row r="285" customFormat="false" ht="12.75" hidden="false" customHeight="true" outlineLevel="0" collapsed="false">
      <c r="A285" s="1" t="s">
        <v>89</v>
      </c>
      <c r="D285" s="18" t="n">
        <f aca="false">BE219</f>
        <v>129.051925526632</v>
      </c>
      <c r="E285" s="18" t="n">
        <f aca="false">BE183</f>
        <v>182.501375729919</v>
      </c>
      <c r="F285" s="18" t="n">
        <f aca="false">BE122</f>
        <v>186.056695987773</v>
      </c>
    </row>
    <row r="286" customFormat="false" ht="12.75" hidden="false" customHeight="true" outlineLevel="0" collapsed="false">
      <c r="A286" s="1" t="s">
        <v>78</v>
      </c>
      <c r="B286" s="1" t="s">
        <v>136</v>
      </c>
      <c r="D286" s="18" t="n">
        <f aca="false">BE215</f>
        <v>128.083344230769</v>
      </c>
      <c r="E286" s="18" t="n">
        <f aca="false">BE179</f>
        <v>191.737804326923</v>
      </c>
      <c r="F286" s="18" t="n">
        <f aca="false">BE118</f>
        <v>244.378097341346</v>
      </c>
    </row>
    <row r="287" customFormat="false" ht="12.75" hidden="false" customHeight="true" outlineLevel="0" collapsed="false">
      <c r="A287" s="1" t="s">
        <v>55</v>
      </c>
      <c r="B287" s="1" t="s">
        <v>136</v>
      </c>
      <c r="D287" s="18" t="n">
        <f aca="false">BE216</f>
        <v>205.31791</v>
      </c>
      <c r="E287" s="18" t="n">
        <f aca="false">BE180</f>
        <v>379.53373</v>
      </c>
      <c r="F287" s="18" t="n">
        <f aca="false">BE119</f>
        <v>484.8087234</v>
      </c>
    </row>
    <row r="288" customFormat="false" ht="12.75" hidden="false" customHeight="true" outlineLevel="0" collapsed="false">
      <c r="A288" s="1" t="s">
        <v>137</v>
      </c>
      <c r="D288" s="2" t="n">
        <f aca="false">D287/D286</f>
        <v>1.60300241403813</v>
      </c>
      <c r="E288" s="2" t="n">
        <f aca="false">E287/E286</f>
        <v>1.97944130700941</v>
      </c>
      <c r="F288" s="2" t="n">
        <f aca="false">F287/F286</f>
        <v>1.9838468695614</v>
      </c>
    </row>
    <row r="289" customFormat="false" ht="12.75" hidden="false" customHeight="true" outlineLevel="0" collapsed="false">
      <c r="A289" s="1" t="s">
        <v>138</v>
      </c>
      <c r="D289" s="2" t="n">
        <f aca="false">D284/(D286+D287)</f>
        <v>2083.81039718321</v>
      </c>
      <c r="E289" s="2" t="n">
        <f aca="false">E284/(E286+E287)</f>
        <v>1253.95185468852</v>
      </c>
      <c r="F289" s="2" t="n">
        <f aca="false">F284/(F286+F287)</f>
        <v>1231.96000592371</v>
      </c>
    </row>
    <row r="290" customFormat="false" ht="12.75" hidden="false" customHeight="true" outlineLevel="0" collapsed="false">
      <c r="A290" s="1" t="s">
        <v>51</v>
      </c>
      <c r="B290" s="1" t="s">
        <v>139</v>
      </c>
      <c r="D290" s="16" t="n">
        <f aca="false">BE196</f>
        <v>0.69892966426886</v>
      </c>
      <c r="E290" s="16" t="n">
        <f aca="false">BE160</f>
        <v>0.839985383076663</v>
      </c>
      <c r="F290" s="16" t="n">
        <f aca="false">BE95</f>
        <v>0.79779249782117</v>
      </c>
    </row>
    <row r="291" customFormat="false" ht="12.75" hidden="false" customHeight="true" outlineLevel="0" collapsed="false">
      <c r="A291" s="1" t="s">
        <v>54</v>
      </c>
      <c r="B291" s="1" t="s">
        <v>139</v>
      </c>
      <c r="D291" s="16" t="n">
        <f aca="false">BE197</f>
        <v>0.657002861211526</v>
      </c>
      <c r="E291" s="16" t="n">
        <f aca="false">BE161</f>
        <v>0.845204846681629</v>
      </c>
      <c r="F291" s="16" t="n">
        <f aca="false">BE96</f>
        <v>0.842414413209696</v>
      </c>
    </row>
    <row r="292" customFormat="false" ht="12.75" hidden="false" customHeight="true" outlineLevel="0" collapsed="false">
      <c r="A292" s="1" t="s">
        <v>78</v>
      </c>
      <c r="B292" s="1" t="s">
        <v>139</v>
      </c>
      <c r="D292" s="16" t="n">
        <f aca="false">BE198</f>
        <v>0.688731458639334</v>
      </c>
      <c r="E292" s="16" t="n">
        <f aca="false">BE162</f>
        <v>0.841244574735976</v>
      </c>
      <c r="F292" s="16" t="n">
        <f aca="false">BE97</f>
        <v>0.808950618955959</v>
      </c>
    </row>
    <row r="293" customFormat="false" ht="12.75" hidden="false" customHeight="true" outlineLevel="0" collapsed="false">
      <c r="A293" s="1" t="s">
        <v>55</v>
      </c>
      <c r="B293" s="1" t="s">
        <v>139</v>
      </c>
      <c r="D293" s="16" t="n">
        <f aca="false">BE199</f>
        <v>0.976521533251439</v>
      </c>
      <c r="E293" s="16" t="n">
        <f aca="false">BE163</f>
        <v>1.23752156014417</v>
      </c>
      <c r="F293" s="16" t="n">
        <f aca="false">BE98</f>
        <v>1.26763494896867</v>
      </c>
    </row>
    <row r="294" customFormat="false" ht="12.75" hidden="false" customHeight="true" outlineLevel="0" collapsed="false">
      <c r="A294" s="1" t="s">
        <v>59</v>
      </c>
      <c r="B294" s="1" t="s">
        <v>139</v>
      </c>
      <c r="D294" s="16" t="n">
        <f aca="false">BE203</f>
        <v>1.17779830575086</v>
      </c>
      <c r="E294" s="16" t="n">
        <f aca="false">BE167</f>
        <v>1.35610791829135</v>
      </c>
      <c r="F294" s="16" t="n">
        <f aca="false">BE103</f>
        <v>1.55182641070881</v>
      </c>
    </row>
    <row r="295" customFormat="false" ht="12.75" hidden="false" customHeight="true" outlineLevel="0" collapsed="false">
      <c r="A295" s="1" t="s">
        <v>79</v>
      </c>
      <c r="B295" s="1" t="s">
        <v>92</v>
      </c>
      <c r="D295" s="14" t="n">
        <f aca="false">BE194</f>
        <v>11251564</v>
      </c>
      <c r="E295" s="14" t="n">
        <f aca="false">BE158</f>
        <v>9196874</v>
      </c>
      <c r="F295" s="14" t="n">
        <f aca="false">BE93</f>
        <v>11526734.51</v>
      </c>
    </row>
    <row r="296" customFormat="false" ht="12.75" hidden="false" customHeight="true" outlineLevel="0" collapsed="false">
      <c r="A296" s="1" t="s">
        <v>79</v>
      </c>
      <c r="B296" s="1" t="s">
        <v>140</v>
      </c>
      <c r="D296" s="14" t="n">
        <f aca="false">BE69+BE71+BE73</f>
        <v>15726987</v>
      </c>
      <c r="E296" s="14" t="n">
        <f aca="false">BE50+BE52+BE54</f>
        <v>15393568</v>
      </c>
      <c r="F296" s="14" t="n">
        <f aca="false">BE16+BE18+BE20</f>
        <v>15693459.37</v>
      </c>
    </row>
    <row r="297" customFormat="false" ht="12.75" hidden="false" customHeight="true" outlineLevel="0" collapsed="false">
      <c r="A297" s="1" t="s">
        <v>79</v>
      </c>
      <c r="B297" s="1" t="s">
        <v>139</v>
      </c>
      <c r="D297" s="16" t="n">
        <f aca="false">D295/D296</f>
        <v>0.715430361835996</v>
      </c>
      <c r="E297" s="16" t="n">
        <f aca="false">E295/E296</f>
        <v>0.597449142395057</v>
      </c>
      <c r="F297" s="16" t="n">
        <f aca="false">F295/F296</f>
        <v>0.734492901675636</v>
      </c>
    </row>
    <row r="298" customFormat="false" ht="12.75" hidden="false" customHeight="true" outlineLevel="0" collapsed="false"/>
    <row r="299" customFormat="false" ht="12.75" hidden="false" customHeight="true" outlineLevel="0" collapsed="false">
      <c r="A299" s="1" t="s">
        <v>78</v>
      </c>
      <c r="B299" s="1" t="s">
        <v>141</v>
      </c>
      <c r="D299" s="20" t="n">
        <f aca="false">D281/D284</f>
        <v>41.8627079000209</v>
      </c>
      <c r="E299" s="20" t="n">
        <f aca="false">E281/E284</f>
        <v>60.4362145719882</v>
      </c>
      <c r="F299" s="20" t="n">
        <f aca="false">F281/F284</f>
        <v>60.8293347314848</v>
      </c>
    </row>
    <row r="300" customFormat="false" ht="12.75" hidden="false" customHeight="true" outlineLevel="0" collapsed="false">
      <c r="A300" s="1" t="s">
        <v>55</v>
      </c>
      <c r="B300" s="1" t="s">
        <v>141</v>
      </c>
      <c r="D300" s="20" t="n">
        <f aca="false">D282/D284</f>
        <v>29.5529885065744</v>
      </c>
      <c r="E300" s="20" t="n">
        <f aca="false">E282/E284</f>
        <v>52.9818272429423</v>
      </c>
      <c r="F300" s="20" t="n">
        <f aca="false">F282/F284</f>
        <v>53.9678362159075</v>
      </c>
    </row>
    <row r="301" customFormat="false" ht="12.75" hidden="false" customHeight="true" outlineLevel="0" collapsed="false">
      <c r="A301" s="1" t="s">
        <v>79</v>
      </c>
      <c r="B301" s="1" t="s">
        <v>141</v>
      </c>
      <c r="D301" s="20" t="n">
        <f aca="false">D295/D284</f>
        <v>16.1952428588907</v>
      </c>
      <c r="E301" s="20" t="n">
        <f aca="false">E295/E284</f>
        <v>12.8385740430266</v>
      </c>
      <c r="F301" s="20" t="n">
        <f aca="false">F295/F284</f>
        <v>12.8313062474884</v>
      </c>
    </row>
    <row r="302" customFormat="false" ht="12.75" hidden="false" customHeight="true" outlineLevel="0" collapsed="false">
      <c r="A302" s="1" t="s">
        <v>59</v>
      </c>
      <c r="B302" s="1" t="s">
        <v>141</v>
      </c>
      <c r="D302" s="20" t="n">
        <f aca="false">D283/D284</f>
        <v>41.4409862611462</v>
      </c>
      <c r="E302" s="20" t="n">
        <f aca="false">E283/E284</f>
        <v>56.2447598719615</v>
      </c>
      <c r="F302" s="20" t="n">
        <f aca="false">F283/F284</f>
        <v>58.4282187928921</v>
      </c>
    </row>
    <row r="303" customFormat="false" ht="12.75" hidden="false" customHeight="true" outlineLevel="0" collapsed="false">
      <c r="A303" s="1" t="s">
        <v>142</v>
      </c>
      <c r="B303" s="1" t="s">
        <v>92</v>
      </c>
      <c r="D303" s="14" t="n">
        <f aca="false">BE192</f>
        <v>89658180</v>
      </c>
      <c r="E303" s="14" t="n">
        <f aca="false">BE156</f>
        <v>130734313</v>
      </c>
      <c r="F303" s="14" t="n">
        <f aca="false">BE89</f>
        <v>167140125.65</v>
      </c>
    </row>
    <row r="304" customFormat="false" ht="12.75" hidden="false" customHeight="true" outlineLevel="0" collapsed="false">
      <c r="D304" s="16" t="n">
        <v>1</v>
      </c>
      <c r="E304" s="16" t="n">
        <v>1</v>
      </c>
      <c r="F304" s="16" t="n">
        <v>1</v>
      </c>
    </row>
    <row r="305" customFormat="false" ht="12.75" hidden="false" customHeight="true" outlineLevel="0" collapsed="false"/>
    <row r="306" customFormat="false" ht="12.75" hidden="false" customHeight="true" outlineLevel="0" collapsed="false">
      <c r="D306" s="2" t="n">
        <v>38.61</v>
      </c>
      <c r="E306" s="2" t="n">
        <v>38.61</v>
      </c>
      <c r="F306" s="2" t="n">
        <v>38.61</v>
      </c>
    </row>
    <row r="307" customFormat="false" ht="12.75" hidden="false" customHeight="true" outlineLevel="0" collapsed="false">
      <c r="D307" s="2" t="n">
        <v>57.5</v>
      </c>
      <c r="E307" s="2" t="n">
        <v>57.5</v>
      </c>
      <c r="F307" s="2" t="n">
        <v>57.5</v>
      </c>
    </row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>
      <c r="A312" s="24" t="s">
        <v>143</v>
      </c>
    </row>
    <row r="313" customFormat="false" ht="12.75" hidden="false" customHeight="true" outlineLevel="0" collapsed="false">
      <c r="A313" s="24"/>
    </row>
    <row r="314" customFormat="false" ht="12.75" hidden="false" customHeight="true" outlineLevel="0" collapsed="false">
      <c r="A314" s="2" t="s">
        <v>144</v>
      </c>
      <c r="B314" s="20" t="n">
        <v>38.61</v>
      </c>
    </row>
    <row r="315" customFormat="false" ht="12.75" hidden="false" customHeight="true" outlineLevel="0" collapsed="false">
      <c r="A315" s="2" t="s">
        <v>145</v>
      </c>
      <c r="B315" s="20" t="n">
        <v>57.5</v>
      </c>
    </row>
    <row r="316" customFormat="false" ht="12.75" hidden="false" customHeight="true" outlineLevel="0" collapsed="false">
      <c r="A316" s="2" t="s">
        <v>146</v>
      </c>
      <c r="B316" s="20" t="n">
        <v>87.98</v>
      </c>
    </row>
    <row r="317" customFormat="false" ht="12.75" hidden="false" customHeight="true" outlineLevel="0" collapsed="false">
      <c r="A317" s="2" t="s">
        <v>147</v>
      </c>
      <c r="B317" s="20" t="n">
        <v>99.99</v>
      </c>
    </row>
    <row r="318" customFormat="false" ht="12.75" hidden="false" customHeight="true" outlineLevel="0" collapsed="false">
      <c r="A318" s="2" t="s">
        <v>148</v>
      </c>
      <c r="B318" s="20" t="n">
        <v>104.76</v>
      </c>
    </row>
    <row r="319" customFormat="false" ht="12.75" hidden="false" customHeight="true" outlineLevel="0" collapsed="false">
      <c r="A319" s="2" t="s">
        <v>149</v>
      </c>
      <c r="B319" s="20" t="n">
        <v>111.03</v>
      </c>
    </row>
    <row r="320" customFormat="false" ht="12.75" hidden="false" customHeight="true" outlineLevel="0" collapsed="false">
      <c r="A320" s="2" t="s">
        <v>150</v>
      </c>
      <c r="B320" s="20" t="n">
        <v>116.15</v>
      </c>
    </row>
    <row r="321" customFormat="false" ht="12.75" hidden="false" customHeight="true" outlineLevel="0" collapsed="false">
      <c r="A321" s="2" t="s">
        <v>151</v>
      </c>
      <c r="B321" s="20" t="n">
        <v>121.2</v>
      </c>
    </row>
    <row r="322" customFormat="false" ht="12.75" hidden="false" customHeight="true" outlineLevel="0" collapsed="false">
      <c r="A322" s="2" t="s">
        <v>152</v>
      </c>
      <c r="B322" s="20" t="n">
        <v>171.95</v>
      </c>
    </row>
    <row r="323" customFormat="false" ht="12.75" hidden="false" customHeight="true" outlineLevel="0" collapsed="false">
      <c r="A323" s="2" t="s">
        <v>153</v>
      </c>
      <c r="B323" s="20" t="n">
        <v>182.82</v>
      </c>
    </row>
    <row r="324" customFormat="false" ht="12.75" hidden="false" customHeight="true" outlineLevel="0" collapsed="false">
      <c r="A324" s="2" t="s">
        <v>154</v>
      </c>
      <c r="B324" s="20" t="n">
        <v>185.26</v>
      </c>
    </row>
    <row r="325" customFormat="false" ht="12.75" hidden="false" customHeight="true" outlineLevel="0" collapsed="false">
      <c r="A325" s="2" t="s">
        <v>155</v>
      </c>
      <c r="B325" s="20" t="n">
        <f aca="false">BE122</f>
        <v>186.056695987773</v>
      </c>
    </row>
    <row r="326" customFormat="false" ht="12.75" hidden="false" customHeight="true" outlineLevel="0" collapsed="false">
      <c r="A326" s="2" t="s">
        <v>156</v>
      </c>
      <c r="B326" s="20" t="n">
        <v>186.14</v>
      </c>
    </row>
    <row r="327" customFormat="false" ht="12.75" hidden="false" customHeight="true" outlineLevel="0" collapsed="false">
      <c r="A327" s="2" t="s">
        <v>157</v>
      </c>
      <c r="B327" s="20" t="n">
        <v>192.59</v>
      </c>
    </row>
    <row r="328" customFormat="false" ht="12.75" hidden="false" customHeight="true" outlineLevel="0" collapsed="false">
      <c r="A328" s="2" t="s">
        <v>158</v>
      </c>
      <c r="B328" s="20" t="n">
        <v>199.86</v>
      </c>
    </row>
    <row r="329" customFormat="false" ht="12.75" hidden="false" customHeight="true" outlineLevel="0" collapsed="false">
      <c r="A329" s="2" t="s">
        <v>159</v>
      </c>
      <c r="B329" s="20" t="n">
        <v>205.02</v>
      </c>
    </row>
    <row r="330" customFormat="false" ht="12.75" hidden="false" customHeight="true" outlineLevel="0" collapsed="false">
      <c r="A330" s="2" t="s">
        <v>160</v>
      </c>
      <c r="B330" s="20" t="n">
        <v>214.73</v>
      </c>
    </row>
    <row r="331" customFormat="false" ht="12.75" hidden="false" customHeight="true" outlineLevel="0" collapsed="false">
      <c r="A331" s="2" t="s">
        <v>161</v>
      </c>
      <c r="B331" s="20" t="n">
        <v>236.25</v>
      </c>
    </row>
    <row r="332" customFormat="false" ht="12.75" hidden="false" customHeight="true" outlineLevel="0" collapsed="false">
      <c r="A332" s="2" t="s">
        <v>162</v>
      </c>
      <c r="B332" s="20" t="n">
        <v>262.86</v>
      </c>
    </row>
    <row r="333" customFormat="false" ht="12.75" hidden="false" customHeight="true" outlineLevel="0" collapsed="false">
      <c r="A333" s="2" t="s">
        <v>163</v>
      </c>
      <c r="B333" s="20" t="n">
        <v>271.26</v>
      </c>
    </row>
    <row r="334" customFormat="false" ht="12.75" hidden="false" customHeight="true" outlineLevel="0" collapsed="false">
      <c r="A334" s="2" t="s">
        <v>164</v>
      </c>
      <c r="B334" s="20" t="n">
        <v>303.31</v>
      </c>
    </row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>
      <c r="D340" s="24" t="s">
        <v>165</v>
      </c>
    </row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>
      <c r="A350" s="12"/>
      <c r="B350" s="12"/>
    </row>
    <row r="351" customFormat="false" ht="12.75" hidden="false" customHeight="true" outlineLevel="0" collapsed="false"/>
    <row r="352" customFormat="false" ht="12.75" hidden="false" customHeight="true" outlineLevel="0" collapsed="false"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G352" s="2"/>
      <c r="BH352" s="2"/>
      <c r="BI352" s="2"/>
      <c r="BJ352" s="2"/>
    </row>
    <row r="353" customFormat="false" ht="12.75" hidden="false" customHeight="true" outlineLevel="0" collapsed="false"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"/>
      <c r="BE353" s="16"/>
      <c r="BG353" s="2"/>
      <c r="BH353" s="2"/>
      <c r="BI353" s="2"/>
      <c r="BJ353" s="2"/>
    </row>
    <row r="354" customFormat="false" ht="12.75" hidden="false" customHeight="true" outlineLevel="0" collapsed="false"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"/>
      <c r="BE354" s="16"/>
      <c r="BG354" s="2"/>
      <c r="BH354" s="2"/>
      <c r="BI354" s="2"/>
      <c r="BJ354" s="2"/>
    </row>
    <row r="355" customFormat="false" ht="12.75" hidden="false" customHeight="true" outlineLevel="0" collapsed="false"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"/>
      <c r="BE355" s="16"/>
      <c r="BG355" s="2"/>
      <c r="BH355" s="2"/>
      <c r="BI355" s="2"/>
      <c r="BJ355" s="2"/>
    </row>
    <row r="356" customFormat="false" ht="12.75" hidden="false" customHeight="true" outlineLevel="0" collapsed="false"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E356" s="16"/>
    </row>
    <row r="357" customFormat="false" ht="12.75" hidden="false" customHeight="true" outlineLevel="0" collapsed="false"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E357" s="16"/>
    </row>
    <row r="358" customFormat="false" ht="12.75" hidden="false" customHeight="true" outlineLevel="0" collapsed="false"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E358" s="16"/>
    </row>
    <row r="359" customFormat="false" ht="12.75" hidden="false" customHeight="true" outlineLevel="0" collapsed="false">
      <c r="D359" s="16"/>
      <c r="E359" s="16" t="s">
        <v>166</v>
      </c>
      <c r="F359" s="16"/>
      <c r="G359" s="16"/>
      <c r="H359" s="16"/>
      <c r="I359" s="16"/>
      <c r="J359" s="16"/>
      <c r="K359" s="16" t="s">
        <v>167</v>
      </c>
      <c r="L359" s="16"/>
      <c r="M359" s="16"/>
      <c r="N359" s="16"/>
      <c r="O359" s="16"/>
      <c r="P359" s="16"/>
      <c r="Q359" s="16" t="s">
        <v>168</v>
      </c>
      <c r="R359" s="16"/>
      <c r="S359" s="16"/>
      <c r="T359" s="16"/>
      <c r="U359" s="16"/>
      <c r="V359" s="16"/>
      <c r="W359" s="16" t="s">
        <v>169</v>
      </c>
      <c r="X359" s="16"/>
      <c r="Y359" s="16"/>
      <c r="Z359" s="16"/>
      <c r="AA359" s="16"/>
      <c r="AB359" s="16"/>
      <c r="AC359" s="16"/>
      <c r="AD359" s="16" t="s">
        <v>170</v>
      </c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E359" s="16"/>
    </row>
    <row r="360" customFormat="false" ht="12.75" hidden="false" customHeight="true" outlineLevel="0" collapsed="false"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E360" s="16"/>
    </row>
    <row r="361" customFormat="false" ht="12.75" hidden="false" customHeight="true" outlineLevel="0" collapsed="false"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E361" s="16"/>
    </row>
    <row r="362" customFormat="false" ht="12.75" hidden="false" customHeight="true" outlineLevel="0" collapsed="false"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E362" s="16"/>
    </row>
    <row r="363" customFormat="false" ht="12.75" hidden="false" customHeight="true" outlineLevel="0" collapsed="false"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Y363" s="16"/>
      <c r="AZ363" s="16"/>
      <c r="BA363" s="16"/>
      <c r="BB363" s="16"/>
      <c r="BC363" s="16"/>
      <c r="BE363" s="16"/>
    </row>
    <row r="364" customFormat="false" ht="12.75" hidden="false" customHeight="true" outlineLevel="0" collapsed="false"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Y364" s="16"/>
      <c r="AZ364" s="16"/>
      <c r="BA364" s="16"/>
      <c r="BB364" s="16"/>
      <c r="BC364" s="16"/>
      <c r="BE364" s="16"/>
    </row>
    <row r="365" customFormat="false" ht="12.75" hidden="false" customHeight="true" outlineLevel="0" collapsed="false"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Y365" s="16"/>
      <c r="AZ365" s="16"/>
      <c r="BA365" s="16"/>
      <c r="BB365" s="16"/>
      <c r="BC365" s="16"/>
      <c r="BE365" s="16"/>
    </row>
    <row r="366" customFormat="false" ht="12.75" hidden="false" customHeight="true" outlineLevel="0" collapsed="false"/>
    <row r="367" customFormat="false" ht="12.75" hidden="false" customHeight="true" outlineLevel="0" collapsed="false"/>
    <row r="370" customFormat="false" ht="12.8" hidden="false" customHeight="true" outlineLevel="0" collapsed="false">
      <c r="A370" s="24"/>
    </row>
    <row r="372" customFormat="false" ht="12.8" hidden="false" customHeight="true" outlineLevel="0" collapsed="false">
      <c r="A372" s="24"/>
      <c r="B372" s="25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Y372" s="14"/>
      <c r="AZ372" s="14"/>
      <c r="BA372" s="14"/>
      <c r="BB372" s="14"/>
      <c r="BC372" s="14"/>
      <c r="BE372" s="14"/>
    </row>
    <row r="373" customFormat="false" ht="12.8" hidden="false" customHeight="true" outlineLevel="0" collapsed="false">
      <c r="A373" s="24"/>
      <c r="B373" s="26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Y373" s="14"/>
      <c r="AZ373" s="14"/>
      <c r="BA373" s="14"/>
      <c r="BB373" s="14"/>
      <c r="BC373" s="14"/>
      <c r="BE373" s="14"/>
    </row>
    <row r="374" customFormat="false" ht="12.8" hidden="false" customHeight="true" outlineLevel="0" collapsed="false">
      <c r="A374" s="24"/>
      <c r="B374" s="27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Y374" s="14"/>
      <c r="AZ374" s="14"/>
      <c r="BA374" s="14"/>
      <c r="BB374" s="14"/>
      <c r="BC374" s="14"/>
      <c r="BE374" s="14"/>
    </row>
    <row r="375" customFormat="false" ht="12.8" hidden="false" customHeight="true" outlineLevel="0" collapsed="false">
      <c r="A375" s="24"/>
      <c r="B375" s="28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Y375" s="14"/>
      <c r="AZ375" s="14"/>
      <c r="BA375" s="14"/>
      <c r="BB375" s="14"/>
      <c r="BC375" s="14"/>
      <c r="BE375" s="14"/>
    </row>
    <row r="376" customFormat="false" ht="12.8" hidden="false" customHeight="true" outlineLevel="0" collapsed="false">
      <c r="A376" s="24"/>
      <c r="B376" s="29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Y376" s="14"/>
      <c r="AZ376" s="14"/>
      <c r="BA376" s="14"/>
      <c r="BB376" s="14"/>
      <c r="BC376" s="14"/>
      <c r="BE376" s="14"/>
    </row>
    <row r="377" customFormat="false" ht="12.8" hidden="false" customHeight="true" outlineLevel="0" collapsed="false">
      <c r="A377" s="24"/>
      <c r="B377" s="30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Y377" s="14"/>
      <c r="AZ377" s="14"/>
      <c r="BA377" s="14"/>
      <c r="BB377" s="14"/>
      <c r="BC377" s="14"/>
      <c r="BE377" s="14"/>
    </row>
    <row r="378" customFormat="false" ht="12.8" hidden="false" customHeight="true" outlineLevel="0" collapsed="false">
      <c r="A378" s="24"/>
      <c r="B378" s="31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Y378" s="14"/>
      <c r="AZ378" s="14"/>
      <c r="BA378" s="14"/>
      <c r="BB378" s="14"/>
      <c r="BC378" s="14"/>
      <c r="BE378" s="14"/>
    </row>
    <row r="379" customFormat="false" ht="12.8" hidden="false" customHeight="false" outlineLevel="0" collapsed="false"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Y379" s="14"/>
      <c r="AZ379" s="14"/>
      <c r="BA379" s="14"/>
      <c r="BB379" s="14"/>
      <c r="BC379" s="14"/>
      <c r="BE379" s="14"/>
    </row>
    <row r="380" customFormat="false" ht="12.8" hidden="false" customHeight="false" outlineLevel="0" collapsed="false"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Y380" s="14"/>
      <c r="AZ380" s="14"/>
      <c r="BA380" s="14"/>
      <c r="BB380" s="14"/>
      <c r="BC380" s="14"/>
      <c r="BE380" s="14"/>
    </row>
    <row r="381" customFormat="false" ht="12.8" hidden="false" customHeight="false" outlineLevel="0" collapsed="false"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  <c r="AR381" s="32"/>
      <c r="AS381" s="32"/>
      <c r="AT381" s="32"/>
      <c r="AU381" s="32"/>
      <c r="AV381" s="32"/>
      <c r="AW381" s="32"/>
      <c r="AY381" s="33"/>
      <c r="AZ381" s="33"/>
      <c r="BA381" s="33"/>
      <c r="BB381" s="33"/>
      <c r="BC381" s="33"/>
      <c r="BD381" s="33"/>
      <c r="BE381" s="33"/>
    </row>
    <row r="382" customFormat="false" ht="12.8" hidden="false" customHeight="false" outlineLevel="0" collapsed="false"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Y382" s="14"/>
      <c r="AZ382" s="14"/>
      <c r="BA382" s="14"/>
      <c r="BB382" s="14"/>
      <c r="BC382" s="14"/>
      <c r="BE382" s="14"/>
    </row>
    <row r="383" customFormat="false" ht="12.8" hidden="false" customHeight="false" outlineLevel="0" collapsed="false"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Y383" s="14"/>
      <c r="AZ383" s="14"/>
      <c r="BA383" s="14"/>
      <c r="BB383" s="14"/>
      <c r="BC383" s="14"/>
      <c r="BE383" s="14"/>
    </row>
    <row r="384" customFormat="false" ht="12.8" hidden="false" customHeight="false" outlineLevel="0" collapsed="false"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Y384" s="14"/>
      <c r="AZ384" s="14"/>
      <c r="BA384" s="14"/>
      <c r="BB384" s="14"/>
      <c r="BC384" s="14"/>
      <c r="BE384" s="14"/>
    </row>
    <row r="385" customFormat="false" ht="12.8" hidden="false" customHeight="false" outlineLevel="0" collapsed="false"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Y385" s="14"/>
      <c r="AZ385" s="14"/>
      <c r="BA385" s="14"/>
      <c r="BB385" s="14"/>
      <c r="BC385" s="14"/>
      <c r="BE385" s="14"/>
    </row>
    <row r="387" customFormat="false" ht="13.2" hidden="false" customHeight="false" outlineLevel="0" collapsed="false">
      <c r="C387" s="34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  <c r="AI387" s="35"/>
      <c r="AJ387" s="35"/>
      <c r="AK387" s="35"/>
      <c r="AL387" s="35"/>
      <c r="AM387" s="35"/>
      <c r="AN387" s="35"/>
      <c r="AO387" s="35"/>
      <c r="AP387" s="35"/>
      <c r="AQ387" s="35"/>
      <c r="AR387" s="35"/>
      <c r="AS387" s="35"/>
      <c r="AT387" s="35"/>
      <c r="AU387" s="35"/>
      <c r="AV387" s="35"/>
      <c r="AW387" s="35"/>
      <c r="AX387" s="36"/>
      <c r="AY387" s="35"/>
      <c r="AZ387" s="35"/>
      <c r="BA387" s="35"/>
      <c r="BB387" s="35"/>
      <c r="BC387" s="35"/>
      <c r="BD387" s="36"/>
      <c r="BE387" s="35"/>
    </row>
    <row r="388" customFormat="false" ht="12.8" hidden="false" customHeight="false" outlineLevel="0" collapsed="false">
      <c r="A388" s="24"/>
      <c r="B388" s="24"/>
      <c r="C388" s="25"/>
    </row>
    <row r="389" customFormat="false" ht="12.8" hidden="false" customHeight="false" outlineLevel="0" collapsed="false">
      <c r="A389" s="24"/>
      <c r="B389" s="24"/>
      <c r="C389" s="25"/>
    </row>
    <row r="390" customFormat="false" ht="12.8" hidden="false" customHeight="false" outlineLevel="0" collapsed="false">
      <c r="A390" s="24"/>
      <c r="B390" s="24"/>
      <c r="C390" s="25"/>
    </row>
    <row r="391" customFormat="false" ht="12.8" hidden="false" customHeight="false" outlineLevel="0" collapsed="false">
      <c r="A391" s="24"/>
      <c r="B391" s="24"/>
      <c r="C391" s="25"/>
    </row>
    <row r="392" customFormat="false" ht="12.8" hidden="false" customHeight="false" outlineLevel="0" collapsed="false">
      <c r="A392" s="24"/>
      <c r="B392" s="24"/>
      <c r="C392" s="25"/>
    </row>
    <row r="393" customFormat="false" ht="12.8" hidden="false" customHeight="false" outlineLevel="0" collapsed="false">
      <c r="A393" s="24"/>
      <c r="B393" s="24"/>
      <c r="C393" s="25"/>
    </row>
    <row r="394" customFormat="false" ht="12.8" hidden="false" customHeight="false" outlineLevel="0" collapsed="false">
      <c r="A394" s="24"/>
      <c r="B394" s="24"/>
      <c r="C394" s="25"/>
    </row>
    <row r="395" customFormat="false" ht="12.8" hidden="false" customHeight="false" outlineLevel="0" collapsed="false">
      <c r="A395" s="24"/>
      <c r="B395" s="24"/>
      <c r="C395" s="25"/>
    </row>
    <row r="396" customFormat="false" ht="12.8" hidden="false" customHeight="false" outlineLevel="0" collapsed="false">
      <c r="B396" s="24"/>
      <c r="C396" s="25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Y396" s="14"/>
      <c r="AZ396" s="14"/>
      <c r="BA396" s="14"/>
      <c r="BB396" s="14"/>
      <c r="BC396" s="14"/>
      <c r="BE396" s="14"/>
    </row>
    <row r="397" customFormat="false" ht="12.8" hidden="false" customHeight="false" outlineLevel="0" collapsed="false">
      <c r="A397" s="37"/>
      <c r="B397" s="24"/>
      <c r="C397" s="25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Y397" s="38"/>
      <c r="AZ397" s="38"/>
      <c r="BA397" s="38"/>
      <c r="BB397" s="38"/>
      <c r="BC397" s="38"/>
      <c r="BE397" s="38"/>
    </row>
    <row r="398" customFormat="false" ht="12.8" hidden="false" customHeight="false" outlineLevel="0" collapsed="false">
      <c r="B398" s="24"/>
      <c r="C398" s="25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Y398" s="14"/>
      <c r="AZ398" s="14"/>
      <c r="BA398" s="14"/>
      <c r="BB398" s="14"/>
      <c r="BC398" s="14"/>
      <c r="BE398" s="14"/>
    </row>
    <row r="399" customFormat="false" ht="12.8" hidden="false" customHeight="false" outlineLevel="0" collapsed="false">
      <c r="A399" s="37"/>
      <c r="B399" s="24"/>
      <c r="C399" s="25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Y399" s="38"/>
      <c r="AZ399" s="38"/>
      <c r="BA399" s="38"/>
      <c r="BB399" s="38"/>
      <c r="BC399" s="38"/>
      <c r="BE399" s="38"/>
    </row>
    <row r="400" customFormat="false" ht="12.8" hidden="false" customHeight="false" outlineLevel="0" collapsed="false">
      <c r="B400" s="24"/>
      <c r="C400" s="25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Y400" s="14"/>
      <c r="AZ400" s="14"/>
      <c r="BA400" s="14"/>
      <c r="BB400" s="14"/>
      <c r="BC400" s="14"/>
      <c r="BE400" s="14"/>
    </row>
    <row r="401" customFormat="false" ht="12.8" hidden="false" customHeight="false" outlineLevel="0" collapsed="false">
      <c r="A401" s="37"/>
      <c r="B401" s="24"/>
      <c r="C401" s="25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Y401" s="38"/>
      <c r="AZ401" s="38"/>
      <c r="BA401" s="38"/>
      <c r="BB401" s="38"/>
      <c r="BC401" s="38"/>
      <c r="BE401" s="38"/>
    </row>
    <row r="402" customFormat="false" ht="12.8" hidden="false" customHeight="false" outlineLevel="0" collapsed="false">
      <c r="B402" s="24"/>
      <c r="C402" s="25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Y402" s="14"/>
      <c r="AZ402" s="14"/>
      <c r="BA402" s="14"/>
      <c r="BB402" s="14"/>
      <c r="BC402" s="14"/>
      <c r="BE402" s="14"/>
    </row>
    <row r="403" customFormat="false" ht="12.8" hidden="false" customHeight="false" outlineLevel="0" collapsed="false">
      <c r="A403" s="37"/>
      <c r="B403" s="24"/>
      <c r="C403" s="25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Y403" s="38"/>
      <c r="AZ403" s="38"/>
      <c r="BA403" s="38"/>
      <c r="BB403" s="38"/>
      <c r="BC403" s="38"/>
      <c r="BE403" s="38"/>
    </row>
    <row r="404" customFormat="false" ht="12.8" hidden="false" customHeight="false" outlineLevel="0" collapsed="false">
      <c r="B404" s="24"/>
      <c r="C404" s="25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Y404" s="14"/>
      <c r="AZ404" s="14"/>
      <c r="BA404" s="14"/>
      <c r="BB404" s="14"/>
      <c r="BC404" s="14"/>
      <c r="BE404" s="14"/>
    </row>
    <row r="405" customFormat="false" ht="12.8" hidden="false" customHeight="false" outlineLevel="0" collapsed="false">
      <c r="A405" s="37"/>
      <c r="B405" s="24"/>
      <c r="C405" s="25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Y405" s="38"/>
      <c r="AZ405" s="38"/>
      <c r="BA405" s="38"/>
      <c r="BB405" s="38"/>
      <c r="BC405" s="38"/>
      <c r="BE405" s="38"/>
    </row>
    <row r="406" customFormat="false" ht="12.8" hidden="false" customHeight="false" outlineLevel="0" collapsed="false">
      <c r="B406" s="24"/>
      <c r="C406" s="25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Y406" s="14"/>
      <c r="AZ406" s="14"/>
      <c r="BA406" s="14"/>
      <c r="BB406" s="14"/>
      <c r="BC406" s="14"/>
      <c r="BE406" s="14"/>
    </row>
    <row r="407" customFormat="false" ht="12.8" hidden="false" customHeight="false" outlineLevel="0" collapsed="false">
      <c r="A407" s="37"/>
      <c r="B407" s="24"/>
      <c r="C407" s="25"/>
      <c r="D407" s="39" t="s">
        <v>171</v>
      </c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Y407" s="38"/>
      <c r="AZ407" s="38"/>
      <c r="BA407" s="38"/>
      <c r="BB407" s="38"/>
      <c r="BC407" s="38"/>
      <c r="BE407" s="38"/>
    </row>
    <row r="408" customFormat="false" ht="12.8" hidden="false" customHeight="false" outlineLevel="0" collapsed="false">
      <c r="B408" s="24"/>
      <c r="C408" s="25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Y408" s="14"/>
      <c r="AZ408" s="14"/>
      <c r="BA408" s="14"/>
      <c r="BB408" s="14"/>
      <c r="BC408" s="14"/>
      <c r="BE408" s="14"/>
    </row>
    <row r="409" customFormat="false" ht="12.8" hidden="false" customHeight="false" outlineLevel="0" collapsed="false">
      <c r="A409" s="37"/>
      <c r="B409" s="24"/>
      <c r="C409" s="25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Y409" s="38"/>
      <c r="AZ409" s="38"/>
      <c r="BA409" s="38"/>
      <c r="BB409" s="38"/>
      <c r="BC409" s="38"/>
      <c r="BE409" s="38"/>
    </row>
    <row r="410" customFormat="false" ht="12.8" hidden="false" customHeight="false" outlineLevel="0" collapsed="false">
      <c r="B410" s="24"/>
      <c r="C410" s="25"/>
    </row>
    <row r="411" customFormat="false" ht="12.8" hidden="false" customHeight="false" outlineLevel="0" collapsed="false">
      <c r="B411" s="24"/>
      <c r="C411" s="25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Y411" s="14"/>
      <c r="AZ411" s="14"/>
      <c r="BA411" s="14"/>
      <c r="BB411" s="14"/>
      <c r="BC411" s="14"/>
      <c r="BE411" s="14"/>
    </row>
    <row r="412" customFormat="false" ht="12.8" hidden="false" customHeight="false" outlineLevel="0" collapsed="false">
      <c r="A412" s="24"/>
      <c r="B412" s="24"/>
      <c r="C412" s="25"/>
    </row>
    <row r="413" customFormat="false" ht="12.8" hidden="false" customHeight="false" outlineLevel="0" collapsed="false">
      <c r="A413" s="24"/>
      <c r="B413" s="24"/>
      <c r="C413" s="25"/>
    </row>
    <row r="414" customFormat="false" ht="12.8" hidden="false" customHeight="false" outlineLevel="0" collapsed="false">
      <c r="A414" s="24"/>
      <c r="B414" s="24"/>
      <c r="C414" s="25"/>
    </row>
    <row r="415" customFormat="false" ht="12.8" hidden="false" customHeight="false" outlineLevel="0" collapsed="false">
      <c r="A415" s="24"/>
      <c r="B415" s="24"/>
      <c r="C415" s="25"/>
    </row>
    <row r="416" customFormat="false" ht="12.8" hidden="false" customHeight="false" outlineLevel="0" collapsed="false">
      <c r="A416" s="24"/>
      <c r="B416" s="24"/>
      <c r="C416" s="25"/>
    </row>
    <row r="417" customFormat="false" ht="12.8" hidden="false" customHeight="false" outlineLevel="0" collapsed="false">
      <c r="A417" s="24"/>
      <c r="B417" s="24"/>
      <c r="C417" s="26"/>
    </row>
    <row r="418" customFormat="false" ht="12.8" hidden="false" customHeight="false" outlineLevel="0" collapsed="false">
      <c r="A418" s="24"/>
      <c r="B418" s="24"/>
      <c r="C418" s="27"/>
    </row>
    <row r="419" customFormat="false" ht="12.8" hidden="false" customHeight="false" outlineLevel="0" collapsed="false">
      <c r="A419" s="24"/>
      <c r="B419" s="2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Y419" s="14"/>
      <c r="AZ419" s="14"/>
      <c r="BA419" s="14"/>
      <c r="BB419" s="14"/>
      <c r="BC419" s="14"/>
      <c r="BE419" s="14"/>
    </row>
    <row r="420" customFormat="false" ht="12.8" hidden="false" customHeight="false" outlineLevel="0" collapsed="false">
      <c r="A420" s="24"/>
      <c r="B420" s="2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Y420" s="14"/>
      <c r="AZ420" s="14"/>
      <c r="BA420" s="14"/>
      <c r="BB420" s="14"/>
      <c r="BC420" s="14"/>
      <c r="BE420" s="14"/>
    </row>
    <row r="421" customFormat="false" ht="12.8" hidden="false" customHeight="false" outlineLevel="0" collapsed="false">
      <c r="A421" s="24"/>
      <c r="B421" s="2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Y421" s="14"/>
      <c r="AZ421" s="14"/>
      <c r="BA421" s="14"/>
      <c r="BB421" s="14"/>
      <c r="BC421" s="14"/>
      <c r="BE421" s="14"/>
    </row>
    <row r="422" customFormat="false" ht="12.8" hidden="false" customHeight="false" outlineLevel="0" collapsed="false">
      <c r="A422" s="24"/>
      <c r="B422" s="2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Y422" s="14"/>
      <c r="AZ422" s="14"/>
      <c r="BA422" s="14"/>
      <c r="BB422" s="14"/>
      <c r="BC422" s="14"/>
      <c r="BE422" s="14"/>
    </row>
    <row r="423" customFormat="false" ht="12.8" hidden="false" customHeight="false" outlineLevel="0" collapsed="false"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40"/>
      <c r="AS423" s="40"/>
      <c r="AT423" s="40"/>
      <c r="AU423" s="40"/>
      <c r="AV423" s="40"/>
      <c r="AW423" s="40"/>
      <c r="AY423" s="40"/>
      <c r="AZ423" s="40"/>
      <c r="BA423" s="40"/>
      <c r="BB423" s="40"/>
      <c r="BC423" s="40"/>
      <c r="BE423" s="40"/>
    </row>
    <row r="424" customFormat="false" ht="12.8" hidden="false" customHeight="false" outlineLevel="0" collapsed="false">
      <c r="A424" s="24"/>
      <c r="B424" s="24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Y424" s="19"/>
      <c r="AZ424" s="19"/>
      <c r="BA424" s="19"/>
      <c r="BB424" s="19"/>
      <c r="BC424" s="19"/>
      <c r="BE424" s="19"/>
    </row>
    <row r="425" customFormat="false" ht="12.8" hidden="false" customHeight="false" outlineLevel="0" collapsed="false">
      <c r="A425" s="24"/>
      <c r="B425" s="24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Y425" s="19"/>
      <c r="AZ425" s="19"/>
      <c r="BA425" s="19"/>
      <c r="BB425" s="19"/>
      <c r="BC425" s="19"/>
      <c r="BE425" s="19"/>
    </row>
    <row r="426" customFormat="false" ht="12.8" hidden="false" customHeight="false" outlineLevel="0" collapsed="false">
      <c r="A426" s="24"/>
      <c r="B426" s="24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Y426" s="19"/>
      <c r="AZ426" s="19"/>
      <c r="BA426" s="19"/>
      <c r="BB426" s="19"/>
      <c r="BC426" s="19"/>
      <c r="BE426" s="19"/>
    </row>
    <row r="427" customFormat="false" ht="12.8" hidden="false" customHeight="false" outlineLevel="0" collapsed="false">
      <c r="A427" s="24"/>
      <c r="B427" s="24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41"/>
      <c r="AY427" s="19"/>
      <c r="AZ427" s="19"/>
      <c r="BA427" s="19"/>
      <c r="BB427" s="19"/>
      <c r="BC427" s="19"/>
      <c r="BD427" s="41"/>
      <c r="BE427" s="19"/>
      <c r="BF427" s="42"/>
      <c r="BG427" s="43"/>
      <c r="BH427" s="43"/>
    </row>
    <row r="428" customFormat="false" ht="12.8" hidden="false" customHeight="false" outlineLevel="0" collapsed="false">
      <c r="A428" s="44"/>
      <c r="B428" s="44"/>
      <c r="C428" s="45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  <c r="BA428" s="38"/>
      <c r="BB428" s="38"/>
      <c r="BC428" s="38"/>
      <c r="BD428" s="38"/>
      <c r="BE428" s="38"/>
      <c r="BF428" s="46"/>
      <c r="BG428" s="47"/>
      <c r="BH428" s="47"/>
    </row>
    <row r="429" customFormat="false" ht="12.8" hidden="false" customHeight="false" outlineLevel="0" collapsed="false">
      <c r="A429" s="48"/>
      <c r="B429" s="48"/>
      <c r="C429" s="49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  <c r="AJ429" s="41"/>
      <c r="AK429" s="41"/>
      <c r="AL429" s="41"/>
      <c r="AM429" s="41"/>
      <c r="AN429" s="41"/>
      <c r="AO429" s="41"/>
      <c r="AP429" s="41"/>
      <c r="AQ429" s="41"/>
      <c r="AR429" s="41"/>
      <c r="AS429" s="41"/>
      <c r="AT429" s="41"/>
      <c r="AU429" s="41"/>
      <c r="AV429" s="41"/>
      <c r="AW429" s="41"/>
      <c r="AX429" s="41"/>
      <c r="AY429" s="41"/>
      <c r="AZ429" s="41"/>
      <c r="BA429" s="41"/>
      <c r="BB429" s="41"/>
      <c r="BC429" s="41"/>
      <c r="BD429" s="41"/>
      <c r="BE429" s="41"/>
      <c r="BF429" s="42"/>
      <c r="BG429" s="43"/>
      <c r="BH429" s="43"/>
    </row>
    <row r="430" customFormat="false" ht="12.8" hidden="false" customHeight="false" outlineLevel="0" collapsed="false">
      <c r="A430" s="44"/>
      <c r="B430" s="44"/>
      <c r="C430" s="50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  <c r="BA430" s="38"/>
      <c r="BB430" s="38"/>
      <c r="BC430" s="38"/>
      <c r="BD430" s="38"/>
      <c r="BE430" s="38"/>
      <c r="BF430" s="51"/>
      <c r="BG430" s="52"/>
      <c r="BH430" s="52"/>
    </row>
    <row r="431" customFormat="false" ht="12.8" hidden="false" customHeight="false" outlineLevel="0" collapsed="false">
      <c r="A431" s="48"/>
      <c r="B431" s="48"/>
      <c r="C431" s="53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  <c r="AI431" s="41"/>
      <c r="AJ431" s="41"/>
      <c r="AK431" s="41"/>
      <c r="AL431" s="41"/>
      <c r="AM431" s="41"/>
      <c r="AN431" s="41"/>
      <c r="AO431" s="41"/>
      <c r="AP431" s="41"/>
      <c r="AQ431" s="41"/>
      <c r="AR431" s="41"/>
      <c r="AS431" s="41"/>
      <c r="AT431" s="41"/>
      <c r="AU431" s="41"/>
      <c r="AV431" s="41"/>
      <c r="AW431" s="41"/>
      <c r="AX431" s="41"/>
      <c r="AY431" s="41"/>
      <c r="AZ431" s="41"/>
      <c r="BA431" s="41"/>
      <c r="BB431" s="41"/>
      <c r="BC431" s="41"/>
      <c r="BD431" s="41"/>
      <c r="BE431" s="41"/>
      <c r="BF431" s="42"/>
      <c r="BG431" s="43"/>
      <c r="BH431" s="43"/>
    </row>
    <row r="432" customFormat="false" ht="12.8" hidden="false" customHeight="false" outlineLevel="0" collapsed="false">
      <c r="A432" s="44"/>
      <c r="B432" s="44"/>
      <c r="C432" s="54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  <c r="AY432" s="38"/>
      <c r="AZ432" s="38"/>
      <c r="BA432" s="38"/>
      <c r="BB432" s="38"/>
      <c r="BC432" s="38"/>
      <c r="BD432" s="38"/>
      <c r="BE432" s="38"/>
      <c r="BF432" s="46"/>
      <c r="BG432" s="47"/>
      <c r="BH432" s="47"/>
    </row>
    <row r="433" customFormat="false" ht="12.8" hidden="false" customHeight="false" outlineLevel="0" collapsed="false">
      <c r="A433" s="48"/>
      <c r="B433" s="48"/>
      <c r="C433" s="55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F433" s="41"/>
      <c r="AG433" s="41"/>
      <c r="AH433" s="41"/>
      <c r="AI433" s="41"/>
      <c r="AJ433" s="41"/>
      <c r="AK433" s="41"/>
      <c r="AL433" s="41"/>
      <c r="AM433" s="41"/>
      <c r="AN433" s="41"/>
      <c r="AO433" s="41"/>
      <c r="AP433" s="41"/>
      <c r="AQ433" s="41"/>
      <c r="AR433" s="41"/>
      <c r="AS433" s="41"/>
      <c r="AT433" s="41"/>
      <c r="AU433" s="41"/>
      <c r="AV433" s="41"/>
      <c r="AW433" s="41"/>
      <c r="AX433" s="41"/>
      <c r="AY433" s="41"/>
      <c r="AZ433" s="41"/>
      <c r="BA433" s="41"/>
      <c r="BB433" s="41"/>
      <c r="BC433" s="41"/>
      <c r="BD433" s="41"/>
      <c r="BE433" s="41"/>
      <c r="BF433" s="42"/>
      <c r="BG433" s="43"/>
      <c r="BH433" s="43"/>
    </row>
    <row r="434" customFormat="false" ht="12.8" hidden="false" customHeight="false" outlineLevel="0" collapsed="false">
      <c r="A434" s="44"/>
      <c r="B434" s="44"/>
      <c r="C434" s="56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  <c r="BD434" s="38"/>
      <c r="BE434" s="38"/>
      <c r="BF434" s="46"/>
      <c r="BG434" s="47"/>
      <c r="BH434" s="47"/>
    </row>
    <row r="435" customFormat="false" ht="12.8" hidden="false" customHeight="false" outlineLevel="0" collapsed="false">
      <c r="A435" s="48"/>
      <c r="B435" s="48"/>
      <c r="C435" s="57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F435" s="41"/>
      <c r="AG435" s="41"/>
      <c r="AH435" s="41"/>
      <c r="AI435" s="41"/>
      <c r="AJ435" s="41"/>
      <c r="AK435" s="41"/>
      <c r="AL435" s="41"/>
      <c r="AM435" s="41"/>
      <c r="AN435" s="41"/>
      <c r="AO435" s="41"/>
      <c r="AP435" s="41"/>
      <c r="AQ435" s="41"/>
      <c r="AR435" s="41"/>
      <c r="AS435" s="41"/>
      <c r="AT435" s="41"/>
      <c r="AU435" s="41"/>
      <c r="AV435" s="41"/>
      <c r="AW435" s="41"/>
      <c r="AX435" s="41"/>
      <c r="AY435" s="41"/>
      <c r="AZ435" s="41"/>
      <c r="BA435" s="41"/>
      <c r="BB435" s="41"/>
      <c r="BC435" s="41"/>
      <c r="BD435" s="41"/>
      <c r="BE435" s="41"/>
      <c r="BF435" s="42"/>
      <c r="BG435" s="43"/>
      <c r="BH435" s="43"/>
    </row>
    <row r="436" customFormat="false" ht="12.8" hidden="false" customHeight="false" outlineLevel="0" collapsed="false">
      <c r="A436" s="44"/>
      <c r="B436" s="44"/>
      <c r="C436" s="5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  <c r="BD436" s="38"/>
      <c r="BE436" s="38"/>
      <c r="BF436" s="46"/>
      <c r="BG436" s="47"/>
      <c r="BH436" s="47"/>
    </row>
    <row r="437" customFormat="false" ht="12.8" hidden="false" customHeight="false" outlineLevel="0" collapsed="false">
      <c r="A437" s="48"/>
      <c r="B437" s="48"/>
      <c r="C437" s="5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F437" s="41"/>
      <c r="AG437" s="41"/>
      <c r="AH437" s="41"/>
      <c r="AI437" s="41"/>
      <c r="AJ437" s="41"/>
      <c r="AK437" s="41"/>
      <c r="AL437" s="41"/>
      <c r="AM437" s="41"/>
      <c r="AN437" s="41"/>
      <c r="AO437" s="41"/>
      <c r="AP437" s="41"/>
      <c r="AQ437" s="41"/>
      <c r="AR437" s="41"/>
      <c r="AS437" s="41"/>
      <c r="AT437" s="41"/>
      <c r="AU437" s="41"/>
      <c r="AV437" s="41"/>
      <c r="AW437" s="41"/>
      <c r="AX437" s="41"/>
      <c r="AY437" s="41"/>
      <c r="AZ437" s="41"/>
      <c r="BA437" s="41"/>
      <c r="BB437" s="41"/>
      <c r="BC437" s="41"/>
      <c r="BD437" s="41"/>
      <c r="BE437" s="41"/>
      <c r="BF437" s="42"/>
      <c r="BG437" s="43"/>
      <c r="BH437" s="43"/>
    </row>
    <row r="438" customFormat="false" ht="12.8" hidden="false" customHeight="false" outlineLevel="0" collapsed="false">
      <c r="A438" s="44"/>
      <c r="B438" s="44"/>
      <c r="C438" s="60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  <c r="AZ438" s="38"/>
      <c r="BA438" s="38"/>
      <c r="BB438" s="38"/>
      <c r="BC438" s="38"/>
      <c r="BD438" s="38"/>
      <c r="BE438" s="38"/>
      <c r="BF438" s="46"/>
      <c r="BG438" s="47"/>
      <c r="BH438" s="47"/>
    </row>
    <row r="439" customFormat="false" ht="12.8" hidden="false" customHeight="false" outlineLevel="0" collapsed="false">
      <c r="A439" s="48"/>
      <c r="B439" s="48"/>
      <c r="C439" s="6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F439" s="41"/>
      <c r="AG439" s="41"/>
      <c r="AH439" s="41"/>
      <c r="AI439" s="41"/>
      <c r="AJ439" s="41"/>
      <c r="AK439" s="41"/>
      <c r="AL439" s="41"/>
      <c r="AM439" s="41"/>
      <c r="AN439" s="41"/>
      <c r="AO439" s="41"/>
      <c r="AP439" s="41"/>
      <c r="AQ439" s="41"/>
      <c r="AR439" s="41"/>
      <c r="AS439" s="41"/>
      <c r="AT439" s="41"/>
      <c r="AU439" s="41"/>
      <c r="AV439" s="41"/>
      <c r="AW439" s="41"/>
      <c r="AX439" s="41"/>
      <c r="AY439" s="41"/>
      <c r="AZ439" s="41"/>
      <c r="BA439" s="41"/>
      <c r="BB439" s="41"/>
      <c r="BC439" s="41"/>
      <c r="BD439" s="41"/>
      <c r="BE439" s="41"/>
      <c r="BF439" s="42"/>
      <c r="BG439" s="43"/>
      <c r="BH439" s="43"/>
    </row>
    <row r="440" customFormat="false" ht="12.8" hidden="false" customHeight="false" outlineLevel="0" collapsed="false">
      <c r="A440" s="44"/>
      <c r="B440" s="44"/>
      <c r="C440" s="62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  <c r="BA440" s="38"/>
      <c r="BB440" s="38"/>
      <c r="BC440" s="38"/>
      <c r="BD440" s="38"/>
      <c r="BE440" s="38"/>
      <c r="BF440" s="47"/>
      <c r="BG440" s="47"/>
      <c r="BH440" s="47"/>
    </row>
    <row r="442" customFormat="false" ht="12.8" hidden="false" customHeight="false" outlineLevel="0" collapsed="false">
      <c r="A442" s="48"/>
      <c r="B442" s="48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Y442" s="14"/>
      <c r="AZ442" s="14"/>
      <c r="BA442" s="14"/>
      <c r="BB442" s="14"/>
      <c r="BC442" s="14"/>
      <c r="BD442" s="63"/>
      <c r="BE442" s="64"/>
    </row>
    <row r="443" customFormat="false" ht="12.8" hidden="false" customHeight="false" outlineLevel="0" collapsed="false">
      <c r="AO443" s="2"/>
    </row>
    <row r="444" customFormat="false" ht="12.8" hidden="false" customHeight="false" outlineLevel="0" collapsed="false">
      <c r="AO444" s="2"/>
    </row>
    <row r="445" customFormat="false" ht="12.8" hidden="false" customHeight="false" outlineLevel="0" collapsed="false">
      <c r="AO445" s="2"/>
    </row>
    <row r="446" customFormat="false" ht="12.8" hidden="false" customHeight="false" outlineLevel="0" collapsed="false">
      <c r="AY446" s="14"/>
      <c r="AZ446" s="14"/>
      <c r="BA446" s="14"/>
      <c r="BB446" s="14"/>
      <c r="BC446" s="14"/>
    </row>
    <row r="447" customFormat="false" ht="12.8" hidden="false" customHeight="false" outlineLevel="0" collapsed="false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Y447" s="14"/>
      <c r="AZ447" s="14"/>
      <c r="BA447" s="14"/>
      <c r="BB447" s="14"/>
      <c r="BC447" s="14"/>
      <c r="BE447" s="2"/>
    </row>
    <row r="448" customFormat="false" ht="12.8" hidden="false" customHeight="false" outlineLevel="0" collapsed="false"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</row>
    <row r="449" customFormat="false" ht="12.8" hidden="false" customHeight="false" outlineLevel="0" collapsed="false"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</row>
    <row r="450" customFormat="false" ht="12.8" hidden="false" customHeight="false" outlineLevel="0" collapsed="false">
      <c r="AO450" s="2"/>
    </row>
    <row r="451" customFormat="false" ht="12.8" hidden="false" customHeight="false" outlineLevel="0" collapsed="false">
      <c r="AO451" s="2"/>
    </row>
    <row r="452" customFormat="false" ht="12.8" hidden="false" customHeight="false" outlineLevel="0" collapsed="false">
      <c r="AO452" s="65"/>
    </row>
    <row r="456" customFormat="false" ht="12.8" hidden="false" customHeight="false" outlineLevel="0" collapsed="false">
      <c r="AF456" s="2"/>
      <c r="AY456" s="14"/>
      <c r="AZ456" s="14"/>
      <c r="BA456" s="14"/>
      <c r="BB456" s="14"/>
      <c r="BC456" s="14"/>
    </row>
    <row r="457" customFormat="false" ht="12.8" hidden="false" customHeight="false" outlineLevel="0" collapsed="false">
      <c r="AY457" s="14"/>
      <c r="AZ457" s="14"/>
      <c r="BA457" s="14"/>
      <c r="BB457" s="14"/>
      <c r="BC457" s="14"/>
      <c r="BE457" s="2"/>
    </row>
    <row r="458" customFormat="false" ht="12.8" hidden="false" customHeight="false" outlineLevel="0" collapsed="false"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Y458" s="16"/>
      <c r="AZ458" s="16"/>
      <c r="BA458" s="16"/>
      <c r="BB458" s="16"/>
      <c r="BC458" s="16"/>
      <c r="BE458" s="16"/>
    </row>
    <row r="463" customFormat="false" ht="12.8" hidden="false" customHeight="true" outlineLevel="0" collapsed="false"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</row>
    <row r="464" customFormat="false" ht="12.8" hidden="false" customHeight="false" outlineLevel="0" collapsed="false"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Y464" s="18"/>
      <c r="AZ464" s="18"/>
      <c r="BA464" s="18"/>
      <c r="BB464" s="18"/>
      <c r="BC464" s="18"/>
      <c r="BE464" s="18"/>
    </row>
    <row r="465" customFormat="false" ht="12.8" hidden="false" customHeight="false" outlineLevel="0" collapsed="false"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Y465" s="18"/>
      <c r="AZ465" s="18"/>
      <c r="BA465" s="18"/>
      <c r="BB465" s="18"/>
      <c r="BC465" s="18"/>
      <c r="BE465" s="18"/>
    </row>
    <row r="466" customFormat="false" ht="12.8" hidden="false" customHeight="false" outlineLevel="0" collapsed="false"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Y466" s="16"/>
      <c r="AZ466" s="16"/>
      <c r="BA466" s="16"/>
      <c r="BB466" s="16"/>
      <c r="BC466" s="16"/>
      <c r="BE466" s="16"/>
    </row>
    <row r="467" customFormat="false" ht="12.8" hidden="false" customHeight="false" outlineLevel="0" collapsed="false"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Y467" s="16"/>
      <c r="AZ467" s="16"/>
      <c r="BA467" s="16"/>
      <c r="BB467" s="16"/>
      <c r="BC467" s="16"/>
      <c r="BE467" s="16"/>
    </row>
    <row r="468" customFormat="false" ht="12.8" hidden="false" customHeight="false" outlineLevel="0" collapsed="false"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P468" s="16"/>
      <c r="AQ468" s="16"/>
      <c r="AR468" s="16"/>
      <c r="AS468" s="16"/>
      <c r="AT468" s="16"/>
      <c r="AU468" s="16"/>
      <c r="AV468" s="16"/>
      <c r="AW468" s="16"/>
      <c r="AY468" s="16"/>
      <c r="AZ468" s="16"/>
      <c r="BA468" s="16"/>
      <c r="BB468" s="16"/>
      <c r="BC468" s="16"/>
      <c r="BE468" s="16"/>
    </row>
    <row r="498" customFormat="false" ht="12.8" hidden="false" customHeight="true" outlineLevel="0" collapsed="false">
      <c r="D498" s="24" t="s">
        <v>172</v>
      </c>
    </row>
    <row r="499" customFormat="false" ht="12.8" hidden="false" customHeight="true" outlineLevel="0" collapsed="false"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8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</row>
    <row r="501" customFormat="false" ht="12.8" hidden="false" customHeight="true" outlineLevel="0" collapsed="false">
      <c r="J501" s="2" t="s">
        <v>173</v>
      </c>
      <c r="S501" s="2" t="s">
        <v>168</v>
      </c>
    </row>
    <row r="554" customFormat="false" ht="12.8" hidden="false" customHeight="true" outlineLevel="0" collapsed="false">
      <c r="E554" s="2" t="s">
        <v>174</v>
      </c>
    </row>
    <row r="555" customFormat="false" ht="12.8" hidden="false" customHeight="true" outlineLevel="0" collapsed="false">
      <c r="P555" s="2" t="s">
        <v>175</v>
      </c>
    </row>
    <row r="597" customFormat="false" ht="12.8" hidden="false" customHeight="true" outlineLevel="0" collapsed="false">
      <c r="E597" s="2" t="s">
        <v>176</v>
      </c>
      <c r="P597" s="2" t="s">
        <v>177</v>
      </c>
      <c r="X597" s="2" t="s">
        <v>178</v>
      </c>
    </row>
    <row r="646" customFormat="false" ht="12.8" hidden="false" customHeight="true" outlineLevel="0" collapsed="false">
      <c r="D646" s="24" t="s">
        <v>179</v>
      </c>
    </row>
    <row r="651" customFormat="false" ht="12.8" hidden="false" customHeight="true" outlineLevel="0" collapsed="false">
      <c r="H651" s="2" t="s">
        <v>180</v>
      </c>
      <c r="P651" s="2" t="s">
        <v>181</v>
      </c>
    </row>
    <row r="697" customFormat="false" ht="12.8" hidden="false" customHeight="true" outlineLevel="0" collapsed="false">
      <c r="D697" s="24" t="s">
        <v>182</v>
      </c>
    </row>
    <row r="703" customFormat="false" ht="12.8" hidden="false" customHeight="true" outlineLevel="0" collapsed="false">
      <c r="A703" s="2"/>
      <c r="B703" s="2"/>
      <c r="C703" s="2"/>
    </row>
    <row r="704" customFormat="false" ht="12.8" hidden="false" customHeight="true" outlineLevel="0" collapsed="false">
      <c r="A704" s="2"/>
      <c r="B704" s="2"/>
      <c r="C704" s="2"/>
    </row>
    <row r="705" customFormat="false" ht="12.8" hidden="false" customHeight="true" outlineLevel="0" collapsed="false">
      <c r="A705" s="2"/>
      <c r="B705" s="2"/>
      <c r="C705" s="2"/>
    </row>
    <row r="706" customFormat="false" ht="12.8" hidden="false" customHeight="true" outlineLevel="0" collapsed="false">
      <c r="A706" s="2"/>
      <c r="B706" s="2"/>
      <c r="C706" s="2"/>
    </row>
    <row r="721" customFormat="false" ht="12.8" hidden="false" customHeight="true" outlineLevel="0" collapsed="false">
      <c r="AC721" s="24"/>
    </row>
  </sheetData>
  <conditionalFormatting sqref="D437:BE437 D431:BE431 D433:BE433 D435:BE435 BD427 AY446:BC447 AY456:BC457 D5:BE5 AX6:BE9 AX427 D429:BE429 O499 BD215:BD363 P215:BC215 P16:AR19 BD11:BD17 BD10:BE10 AS16:AY17 P10:AY15 AZ10:BC17 AT18:AX19 Z20:AX23 AY18:BD39 D4:BD5 BE4 E216:BC363 N60:N215 Y40:BD87 O28:O108 P40:X108 Z108:AK114 AL110:AU114 AL108:AU108 AX88:BD114 BE11:BE114 Y151:BE159 Y160:BB175 BC160:BE168 Y95:Y108 Y110:Y150 AX115:BE150 Y88:AU94 Z95:AU107 Z115:AU150 AV110:AW150 AV88:AW108 BC169:BD175 E60:M197 E199:M215 O110:O215 E198:N198 P110:X197 P199:X214 P198:Z198 Y176:BD195 Y212:BD214 Y196:AD211 AE196:AJ197 AE199:AJ211 AE198:AK198 AK196:AL211 AM196:AU197 AV196:BD211 AM199:AU211 AM198:AX198 BE169:BE363 O109:Y109 AL109:AW109 D341:D362 D407 D60:D339 N10:N59 M28:M38 D41:M59 D10:M27 D34:L38 O6:O23 P20:Y23 P34:AX39 AX24:AX28 O24:AW27 D39:M39 D28:K38 L28:L33 AX29:AX33 P28:AW33">
    <cfRule type="cellIs" priority="2" operator="equal" aboveAverage="0" equalAverage="0" bottom="0" percent="0" rank="0" text="" dxfId="0">
      <formula>na</formula>
    </cfRule>
  </conditionalFormatting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1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901"/>
  <sheetViews>
    <sheetView showFormulas="false" showGridLines="true" showRowColHeaders="true" showZeros="true" rightToLeft="false" tabSelected="false" showOutlineSymbols="true" defaultGridColor="true" view="normal" topLeftCell="K1" colorId="64" zoomScale="95" zoomScaleNormal="95" zoomScalePageLayoutView="100" workbookViewId="0">
      <selection pane="topLeft" activeCell="U27" activeCellId="0" sqref="U27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2" width="44.89"/>
    <col collapsed="false" customWidth="true" hidden="false" outlineLevel="0" max="21" min="21" style="2" width="42.1"/>
  </cols>
  <sheetData>
    <row r="2" customFormat="false" ht="12.8" hidden="false" customHeight="false" outlineLevel="0" collapsed="false">
      <c r="A2" s="2" t="s">
        <v>122</v>
      </c>
      <c r="B2" s="2" t="s">
        <v>183</v>
      </c>
      <c r="C2" s="2" t="s">
        <v>184</v>
      </c>
      <c r="D2" s="2" t="s">
        <v>185</v>
      </c>
      <c r="E2" s="2" t="s">
        <v>186</v>
      </c>
      <c r="F2" s="2" t="s">
        <v>187</v>
      </c>
      <c r="G2" s="2" t="s">
        <v>188</v>
      </c>
      <c r="H2" s="2" t="s">
        <v>189</v>
      </c>
      <c r="I2" s="2" t="s">
        <v>190</v>
      </c>
      <c r="J2" s="2" t="s">
        <v>191</v>
      </c>
      <c r="K2" s="2" t="s">
        <v>192</v>
      </c>
      <c r="L2" s="2" t="s">
        <v>193</v>
      </c>
      <c r="M2" s="2" t="s">
        <v>194</v>
      </c>
      <c r="N2" s="2" t="s">
        <v>195</v>
      </c>
      <c r="O2" s="2" t="s">
        <v>196</v>
      </c>
      <c r="Q2" s="2" t="s">
        <v>124</v>
      </c>
      <c r="W2" s="4" t="s">
        <v>61</v>
      </c>
      <c r="X2" s="4" t="s">
        <v>197</v>
      </c>
      <c r="Y2" s="4" t="s">
        <v>198</v>
      </c>
      <c r="Z2" s="4" t="s">
        <v>199</v>
      </c>
      <c r="AA2" s="4" t="s">
        <v>200</v>
      </c>
      <c r="AB2" s="4" t="s">
        <v>201</v>
      </c>
      <c r="AC2" s="2" t="s">
        <v>202</v>
      </c>
      <c r="AD2" s="2" t="s">
        <v>203</v>
      </c>
      <c r="AE2" s="2" t="s">
        <v>204</v>
      </c>
      <c r="AF2" s="2" t="s">
        <v>205</v>
      </c>
      <c r="AG2" s="2" t="s">
        <v>206</v>
      </c>
      <c r="AI2" s="2" t="s">
        <v>207</v>
      </c>
      <c r="AJ2" s="2" t="s">
        <v>208</v>
      </c>
      <c r="AK2" s="2" t="s">
        <v>209</v>
      </c>
    </row>
    <row r="3" customFormat="false" ht="12.8" hidden="false" customHeight="false" outlineLevel="0" collapsed="false">
      <c r="A3" s="2" t="s">
        <v>210</v>
      </c>
      <c r="B3" s="2" t="s">
        <v>211</v>
      </c>
      <c r="C3" s="2" t="s">
        <v>212</v>
      </c>
      <c r="D3" s="2" t="n">
        <v>1610</v>
      </c>
      <c r="E3" s="2" t="n">
        <v>57</v>
      </c>
      <c r="F3" s="2" t="n">
        <v>439</v>
      </c>
      <c r="G3" s="2" t="n">
        <v>945</v>
      </c>
      <c r="H3" s="2" t="n">
        <v>636</v>
      </c>
      <c r="I3" s="2" t="n">
        <v>459</v>
      </c>
      <c r="J3" s="2" t="n">
        <v>536</v>
      </c>
      <c r="K3" s="2" t="n">
        <v>1554</v>
      </c>
      <c r="L3" s="2" t="n">
        <v>452</v>
      </c>
      <c r="M3" s="2" t="n">
        <v>66</v>
      </c>
      <c r="N3" s="2" t="n">
        <v>494</v>
      </c>
      <c r="O3" s="2" t="n">
        <v>1422</v>
      </c>
      <c r="Q3" s="2" t="n">
        <f aca="false">F3+G3+H3</f>
        <v>2020</v>
      </c>
      <c r="U3" s="2" t="str">
        <f aca="false">A3</f>
        <v>Fraser-Abbotsford-Abbotsford</v>
      </c>
      <c r="V3" s="2" t="s">
        <v>9</v>
      </c>
      <c r="W3" s="2" t="n">
        <f aca="false">SUMIF($A$3:$A$522,$U3,Q$3:Q$522)</f>
        <v>35486</v>
      </c>
      <c r="X3" s="2" t="n">
        <f aca="false">SUMIF($A$3:$A$522,$U3,I$3:I$522)</f>
        <v>6901</v>
      </c>
      <c r="Y3" s="2" t="n">
        <f aca="false">SUMIF($A$3:$A$522,$U3,J$3:J$522)</f>
        <v>7357</v>
      </c>
      <c r="Z3" s="2" t="n">
        <f aca="false">SUMIF($A$3:$A$522,$U3,K$3:K$522)</f>
        <v>30027</v>
      </c>
      <c r="AA3" s="2" t="n">
        <f aca="false">SUMIF($A$3:$A$522,$U3,L$3:L$522)</f>
        <v>10017</v>
      </c>
      <c r="AB3" s="2" t="n">
        <f aca="false">SUMIF($A$3:$A$522,$U3,M$3:M$522)</f>
        <v>993</v>
      </c>
      <c r="AC3" s="2" t="n">
        <f aca="false">SUM(X3:AB3)</f>
        <v>55295</v>
      </c>
      <c r="AD3" s="2" t="n">
        <f aca="false">SUMIF($A$3:$A$522,$U3,F$3:F$522)</f>
        <v>5899</v>
      </c>
      <c r="AE3" s="2" t="n">
        <f aca="false">SUMIF($A$3:$A$522,$U3,G$3:G$522)</f>
        <v>18283</v>
      </c>
      <c r="AF3" s="2" t="n">
        <f aca="false">SUMIF($A$3:$A$522,$U3,H$3:H$522)</f>
        <v>11304</v>
      </c>
      <c r="AG3" s="2" t="n">
        <f aca="false">SUMIF($A$3:$A$522,$U3,N$3:N$522)</f>
        <v>14128</v>
      </c>
      <c r="AI3" s="2" t="n">
        <f aca="false">SUMIF($A$525:$A$901,$U3,Q$525:Q$901)</f>
        <v>29682</v>
      </c>
      <c r="AJ3" s="40" t="n">
        <f aca="false">AI3*13/9</f>
        <v>42874</v>
      </c>
      <c r="AK3" s="16" t="n">
        <f aca="false">AJ3/W3</f>
        <v>1.20819478104041</v>
      </c>
    </row>
    <row r="4" customFormat="false" ht="12.8" hidden="false" customHeight="false" outlineLevel="0" collapsed="false">
      <c r="A4" s="2" t="s">
        <v>210</v>
      </c>
      <c r="B4" s="2" t="s">
        <v>211</v>
      </c>
      <c r="C4" s="2" t="s">
        <v>213</v>
      </c>
      <c r="D4" s="2" t="n">
        <v>1747</v>
      </c>
      <c r="E4" s="2" t="n">
        <v>86</v>
      </c>
      <c r="F4" s="2" t="n">
        <v>369</v>
      </c>
      <c r="G4" s="2" t="n">
        <v>1842</v>
      </c>
      <c r="H4" s="2" t="n">
        <v>800</v>
      </c>
      <c r="I4" s="2" t="n">
        <v>530</v>
      </c>
      <c r="J4" s="2" t="n">
        <v>494</v>
      </c>
      <c r="K4" s="2" t="n">
        <v>2628</v>
      </c>
      <c r="L4" s="2" t="n">
        <v>816</v>
      </c>
      <c r="M4" s="2" t="n">
        <v>47</v>
      </c>
      <c r="N4" s="2" t="n">
        <v>1691</v>
      </c>
      <c r="O4" s="2" t="n">
        <v>2294</v>
      </c>
      <c r="Q4" s="2" t="n">
        <f aca="false">F4+G4+H4</f>
        <v>3011</v>
      </c>
      <c r="U4" s="2" t="str">
        <f aca="false">A16</f>
        <v>Fraser-Burnaby-Edmonds</v>
      </c>
      <c r="V4" s="2" t="s">
        <v>7</v>
      </c>
      <c r="W4" s="2" t="n">
        <f aca="false">SUMIF($A$3:$A$522,$U4,Q$3:Q$522)</f>
        <v>10753</v>
      </c>
      <c r="X4" s="2" t="n">
        <f aca="false">SUMIF($A$3:$A$522,$U4,I$3:I$522)</f>
        <v>4907</v>
      </c>
      <c r="Y4" s="2" t="n">
        <f aca="false">SUMIF($A$3:$A$522,$U4,J$3:J$522)</f>
        <v>0</v>
      </c>
      <c r="Z4" s="2" t="n">
        <f aca="false">SUMIF($A$3:$A$522,$U4,K$3:K$522)</f>
        <v>10949</v>
      </c>
      <c r="AA4" s="2" t="n">
        <f aca="false">SUMIF($A$3:$A$522,$U4,L$3:L$522)</f>
        <v>0</v>
      </c>
      <c r="AB4" s="2" t="n">
        <f aca="false">SUMIF($A$3:$A$522,$U4,M$3:M$522)</f>
        <v>1847</v>
      </c>
      <c r="AC4" s="2" t="n">
        <f aca="false">SUM(X4:AB4)</f>
        <v>17703</v>
      </c>
      <c r="AD4" s="2" t="n">
        <f aca="false">SUMIF($A$3:$A$522,$U4,F$3:F$522)</f>
        <v>0</v>
      </c>
      <c r="AE4" s="2" t="n">
        <f aca="false">SUMIF($A$3:$A$522,$U4,G$3:G$522)</f>
        <v>8555</v>
      </c>
      <c r="AF4" s="2" t="n">
        <f aca="false">SUMIF($A$3:$A$522,$U4,H$3:H$522)</f>
        <v>2198</v>
      </c>
      <c r="AG4" s="2" t="n">
        <f aca="false">SUMIF($A$3:$A$522,$U4,N$3:N$522)</f>
        <v>8572</v>
      </c>
      <c r="AI4" s="2" t="n">
        <f aca="false">SUMIF($A$525:$A$901,$U4,Q$525:Q$901)</f>
        <v>6525</v>
      </c>
      <c r="AJ4" s="40" t="n">
        <f aca="false">AI4*13/9</f>
        <v>9425</v>
      </c>
      <c r="AK4" s="16" t="n">
        <f aca="false">AJ4/W4</f>
        <v>0.876499581512136</v>
      </c>
    </row>
    <row r="5" customFormat="false" ht="12.8" hidden="false" customHeight="false" outlineLevel="0" collapsed="false">
      <c r="A5" s="2" t="s">
        <v>210</v>
      </c>
      <c r="B5" s="2" t="s">
        <v>211</v>
      </c>
      <c r="C5" s="2" t="s">
        <v>214</v>
      </c>
      <c r="D5" s="2" t="n">
        <v>1802</v>
      </c>
      <c r="E5" s="2" t="n">
        <v>97</v>
      </c>
      <c r="F5" s="2" t="n">
        <v>497</v>
      </c>
      <c r="G5" s="2" t="n">
        <v>1648</v>
      </c>
      <c r="H5" s="2" t="n">
        <v>995</v>
      </c>
      <c r="I5" s="2" t="n">
        <v>700</v>
      </c>
      <c r="J5" s="2" t="n">
        <v>557</v>
      </c>
      <c r="K5" s="2" t="n">
        <v>2740</v>
      </c>
      <c r="L5" s="2" t="n">
        <v>1006</v>
      </c>
      <c r="M5" s="2" t="n">
        <v>105</v>
      </c>
      <c r="N5" s="2" t="n">
        <v>1387</v>
      </c>
      <c r="O5" s="2" t="n">
        <v>2263</v>
      </c>
      <c r="Q5" s="2" t="n">
        <f aca="false">F5+G5+H5</f>
        <v>3140</v>
      </c>
      <c r="U5" s="2" t="str">
        <f aca="false">A29</f>
        <v>Fraser-Burnaby-Metrotown</v>
      </c>
      <c r="V5" s="2" t="s">
        <v>12</v>
      </c>
      <c r="W5" s="2" t="n">
        <f aca="false">SUMIF($A$3:$A$522,$U5,Q$3:Q$522)</f>
        <v>50878</v>
      </c>
      <c r="X5" s="2" t="n">
        <f aca="false">SUMIF($A$3:$A$522,$U5,I$3:I$522)</f>
        <v>18582</v>
      </c>
      <c r="Y5" s="2" t="n">
        <f aca="false">SUMIF($A$3:$A$522,$U5,J$3:J$522)</f>
        <v>8450</v>
      </c>
      <c r="Z5" s="2" t="n">
        <f aca="false">SUMIF($A$3:$A$522,$U5,K$3:K$522)</f>
        <v>41353</v>
      </c>
      <c r="AA5" s="2" t="n">
        <f aca="false">SUMIF($A$3:$A$522,$U5,L$3:L$522)</f>
        <v>5284</v>
      </c>
      <c r="AB5" s="2" t="n">
        <f aca="false">SUMIF($A$3:$A$522,$U5,M$3:M$522)</f>
        <v>1659</v>
      </c>
      <c r="AC5" s="2" t="n">
        <f aca="false">SUM(X5:AB5)</f>
        <v>75328</v>
      </c>
      <c r="AD5" s="2" t="n">
        <f aca="false">SUMIF($A$3:$A$522,$U5,F$3:F$522)</f>
        <v>4630</v>
      </c>
      <c r="AE5" s="2" t="n">
        <f aca="false">SUMIF($A$3:$A$522,$U5,G$3:G$522)</f>
        <v>13201</v>
      </c>
      <c r="AF5" s="2" t="n">
        <f aca="false">SUMIF($A$3:$A$522,$U5,H$3:H$522)</f>
        <v>33047</v>
      </c>
      <c r="AG5" s="2" t="n">
        <f aca="false">SUMIF($A$3:$A$522,$U5,N$3:N$522)</f>
        <v>23630</v>
      </c>
      <c r="AI5" s="2" t="n">
        <f aca="false">SUMIF($A$525:$A$901,$U5,Q$525:Q$901)</f>
        <v>34251</v>
      </c>
      <c r="AJ5" s="40" t="n">
        <f aca="false">AI5*13/9</f>
        <v>49473.6666666667</v>
      </c>
      <c r="AK5" s="16" t="n">
        <f aca="false">AJ5/W5</f>
        <v>0.972398024031343</v>
      </c>
    </row>
    <row r="6" customFormat="false" ht="12.8" hidden="false" customHeight="false" outlineLevel="0" collapsed="false">
      <c r="A6" s="2" t="s">
        <v>210</v>
      </c>
      <c r="B6" s="2" t="s">
        <v>211</v>
      </c>
      <c r="C6" s="2" t="s">
        <v>215</v>
      </c>
      <c r="D6" s="2" t="n">
        <v>1891</v>
      </c>
      <c r="E6" s="2" t="n">
        <v>129</v>
      </c>
      <c r="F6" s="2" t="n">
        <v>435</v>
      </c>
      <c r="G6" s="2" t="n">
        <v>1558</v>
      </c>
      <c r="H6" s="2" t="n">
        <v>1284</v>
      </c>
      <c r="I6" s="2" t="n">
        <v>664</v>
      </c>
      <c r="J6" s="2" t="n">
        <v>502</v>
      </c>
      <c r="K6" s="2" t="n">
        <v>2981</v>
      </c>
      <c r="L6" s="2" t="n">
        <v>1089</v>
      </c>
      <c r="M6" s="2" t="n">
        <v>105</v>
      </c>
      <c r="N6" s="2" t="n">
        <v>1845</v>
      </c>
      <c r="O6" s="2" t="n">
        <v>2553</v>
      </c>
      <c r="Q6" s="2" t="n">
        <f aca="false">F6+G6+H6</f>
        <v>3277</v>
      </c>
      <c r="U6" s="2" t="str">
        <f aca="false">A42</f>
        <v>Fraser-Chilliwack-and-Fraser-Chilliwack</v>
      </c>
      <c r="V6" s="2" t="s">
        <v>14</v>
      </c>
      <c r="W6" s="2" t="n">
        <f aca="false">SUMIF($A$3:$A$522,$U6,Q$3:Q$522)</f>
        <v>7629</v>
      </c>
      <c r="X6" s="2" t="n">
        <f aca="false">SUMIF($A$3:$A$522,$U6,I$3:I$522)</f>
        <v>2114</v>
      </c>
      <c r="Y6" s="2" t="n">
        <f aca="false">SUMIF($A$3:$A$522,$U6,J$3:J$522)</f>
        <v>1442</v>
      </c>
      <c r="Z6" s="2" t="n">
        <f aca="false">SUMIF($A$3:$A$522,$U6,K$3:K$522)</f>
        <v>7032</v>
      </c>
      <c r="AA6" s="2" t="n">
        <f aca="false">SUMIF($A$3:$A$522,$U6,L$3:L$522)</f>
        <v>1901</v>
      </c>
      <c r="AB6" s="2" t="n">
        <f aca="false">SUMIF($A$3:$A$522,$U6,M$3:M$522)</f>
        <v>0</v>
      </c>
      <c r="AC6" s="2" t="n">
        <f aca="false">SUM(X6:AB6)</f>
        <v>12489</v>
      </c>
      <c r="AD6" s="2" t="n">
        <f aca="false">SUMIF($A$3:$A$522,$U6,F$3:F$522)</f>
        <v>0</v>
      </c>
      <c r="AE6" s="2" t="n">
        <f aca="false">SUMIF($A$3:$A$522,$U6,G$3:G$522)</f>
        <v>5216</v>
      </c>
      <c r="AF6" s="2" t="n">
        <f aca="false">SUMIF($A$3:$A$522,$U6,H$3:H$522)</f>
        <v>2413</v>
      </c>
      <c r="AG6" s="2" t="n">
        <f aca="false">SUMIF($A$3:$A$522,$U6,N$3:N$522)</f>
        <v>1889</v>
      </c>
      <c r="AI6" s="2" t="n">
        <f aca="false">SUMIF($A$525:$A$901,$U6,Q$525:Q$901)</f>
        <v>8838</v>
      </c>
      <c r="AJ6" s="40" t="n">
        <f aca="false">AI6*13/9</f>
        <v>12766</v>
      </c>
      <c r="AK6" s="16" t="n">
        <f aca="false">AJ6/W6</f>
        <v>1.6733516843623</v>
      </c>
    </row>
    <row r="7" customFormat="false" ht="12.8" hidden="false" customHeight="false" outlineLevel="0" collapsed="false">
      <c r="A7" s="2" t="s">
        <v>210</v>
      </c>
      <c r="B7" s="2" t="s">
        <v>211</v>
      </c>
      <c r="C7" s="2" t="s">
        <v>216</v>
      </c>
      <c r="D7" s="2" t="n">
        <v>1975</v>
      </c>
      <c r="E7" s="2" t="n">
        <v>99</v>
      </c>
      <c r="F7" s="2" t="n">
        <v>532</v>
      </c>
      <c r="G7" s="2" t="n">
        <v>2007</v>
      </c>
      <c r="H7" s="2" t="n">
        <v>1150</v>
      </c>
      <c r="I7" s="2" t="n">
        <v>810</v>
      </c>
      <c r="J7" s="2" t="n">
        <v>573</v>
      </c>
      <c r="K7" s="2" t="n">
        <v>3375</v>
      </c>
      <c r="L7" s="2" t="n">
        <v>960</v>
      </c>
      <c r="M7" s="2" t="n">
        <v>86</v>
      </c>
      <c r="N7" s="2" t="n">
        <v>2049</v>
      </c>
      <c r="O7" s="2" t="n">
        <v>2644</v>
      </c>
      <c r="Q7" s="2" t="n">
        <f aca="false">F7+G7+H7</f>
        <v>3689</v>
      </c>
      <c r="U7" s="2" t="str">
        <f aca="false">A55</f>
        <v>Fraser-Fraser-Northwest-Port-Moody</v>
      </c>
      <c r="V7" s="2" t="s">
        <v>11</v>
      </c>
      <c r="W7" s="2" t="n">
        <f aca="false">SUMIF($A$3:$A$522,$U7,Q$3:Q$522)</f>
        <v>52356</v>
      </c>
      <c r="X7" s="2" t="n">
        <f aca="false">SUMIF($A$3:$A$522,$U7,I$3:I$522)</f>
        <v>21587</v>
      </c>
      <c r="Y7" s="2" t="n">
        <f aca="false">SUMIF($A$3:$A$522,$U7,J$3:J$522)</f>
        <v>6323</v>
      </c>
      <c r="Z7" s="2" t="n">
        <f aca="false">SUMIF($A$3:$A$522,$U7,K$3:K$522)</f>
        <v>46837</v>
      </c>
      <c r="AA7" s="2" t="n">
        <f aca="false">SUMIF($A$3:$A$522,$U7,L$3:L$522)</f>
        <v>14112</v>
      </c>
      <c r="AB7" s="2" t="n">
        <f aca="false">SUMIF($A$3:$A$522,$U7,M$3:M$522)</f>
        <v>2388</v>
      </c>
      <c r="AC7" s="2" t="n">
        <f aca="false">SUM(X7:AB7)</f>
        <v>91247</v>
      </c>
      <c r="AD7" s="2" t="n">
        <f aca="false">SUMIF($A$3:$A$522,$U7,F$3:F$522)</f>
        <v>6746</v>
      </c>
      <c r="AE7" s="2" t="n">
        <f aca="false">SUMIF($A$3:$A$522,$U7,G$3:G$522)</f>
        <v>23420</v>
      </c>
      <c r="AF7" s="2" t="n">
        <f aca="false">SUMIF($A$3:$A$522,$U7,H$3:H$522)</f>
        <v>22190</v>
      </c>
      <c r="AG7" s="2" t="n">
        <f aca="false">SUMIF($A$3:$A$522,$U7,N$3:N$522)</f>
        <v>33021</v>
      </c>
      <c r="AI7" s="2" t="n">
        <f aca="false">SUMIF($A$525:$A$901,$U7,Q$525:Q$901)</f>
        <v>31893</v>
      </c>
      <c r="AJ7" s="40" t="n">
        <f aca="false">AI7*13/9</f>
        <v>46067.6666666667</v>
      </c>
      <c r="AK7" s="16" t="n">
        <f aca="false">AJ7/W7</f>
        <v>0.879892785290448</v>
      </c>
    </row>
    <row r="8" customFormat="false" ht="12.8" hidden="false" customHeight="false" outlineLevel="0" collapsed="false">
      <c r="A8" s="2" t="s">
        <v>210</v>
      </c>
      <c r="B8" s="2" t="s">
        <v>211</v>
      </c>
      <c r="C8" s="2" t="s">
        <v>217</v>
      </c>
      <c r="D8" s="2" t="n">
        <v>1701</v>
      </c>
      <c r="E8" s="2" t="n">
        <v>66</v>
      </c>
      <c r="F8" s="2" t="n">
        <v>456</v>
      </c>
      <c r="G8" s="2" t="n">
        <v>1078</v>
      </c>
      <c r="H8" s="2" t="n">
        <v>836</v>
      </c>
      <c r="I8" s="2" t="n">
        <v>579</v>
      </c>
      <c r="J8" s="2" t="n">
        <v>615</v>
      </c>
      <c r="K8" s="2" t="n">
        <v>1885</v>
      </c>
      <c r="L8" s="2" t="n">
        <v>630</v>
      </c>
      <c r="M8" s="2" t="n">
        <v>54</v>
      </c>
      <c r="N8" s="2" t="n">
        <v>508</v>
      </c>
      <c r="O8" s="2" t="n">
        <v>1794</v>
      </c>
      <c r="Q8" s="2" t="n">
        <f aca="false">F8+G8+H8</f>
        <v>2370</v>
      </c>
      <c r="U8" s="2" t="str">
        <f aca="false">A68</f>
        <v>Fraser-Langley-Langley</v>
      </c>
      <c r="V8" s="2" t="s">
        <v>13</v>
      </c>
      <c r="W8" s="2" t="n">
        <f aca="false">SUMIF($A$3:$A$522,$U8,Q$3:Q$522)</f>
        <v>11619</v>
      </c>
      <c r="X8" s="2" t="n">
        <f aca="false">SUMIF($A$3:$A$522,$U8,I$3:I$522)</f>
        <v>2691</v>
      </c>
      <c r="Y8" s="2" t="n">
        <f aca="false">SUMIF($A$3:$A$522,$U8,J$3:J$522)</f>
        <v>565</v>
      </c>
      <c r="Z8" s="2" t="n">
        <f aca="false">SUMIF($A$3:$A$522,$U8,K$3:K$522)</f>
        <v>12210</v>
      </c>
      <c r="AA8" s="2" t="n">
        <f aca="false">SUMIF($A$3:$A$522,$U8,L$3:L$522)</f>
        <v>0</v>
      </c>
      <c r="AB8" s="2" t="n">
        <f aca="false">SUMIF($A$3:$A$522,$U8,M$3:M$522)</f>
        <v>0</v>
      </c>
      <c r="AC8" s="2" t="n">
        <f aca="false">SUM(X8:AB8)</f>
        <v>15466</v>
      </c>
      <c r="AD8" s="2" t="n">
        <f aca="false">SUMIF($A$3:$A$522,$U8,F$3:F$522)</f>
        <v>0</v>
      </c>
      <c r="AE8" s="2" t="n">
        <f aca="false">SUMIF($A$3:$A$522,$U8,G$3:G$522)</f>
        <v>7320</v>
      </c>
      <c r="AF8" s="2" t="n">
        <f aca="false">SUMIF($A$3:$A$522,$U8,H$3:H$522)</f>
        <v>4299</v>
      </c>
      <c r="AG8" s="2" t="n">
        <f aca="false">SUMIF($A$3:$A$522,$U8,N$3:N$522)</f>
        <v>7495</v>
      </c>
      <c r="AI8" s="2" t="n">
        <f aca="false">SUMIF($A$525:$A$901,$U8,Q$525:Q$901)</f>
        <v>19553</v>
      </c>
      <c r="AJ8" s="40" t="n">
        <f aca="false">AI8*13/9</f>
        <v>28243.2222222222</v>
      </c>
      <c r="AK8" s="16" t="n">
        <f aca="false">AJ8/W8</f>
        <v>2.43077908789244</v>
      </c>
    </row>
    <row r="9" customFormat="false" ht="12.8" hidden="false" customHeight="false" outlineLevel="0" collapsed="false">
      <c r="A9" s="2" t="s">
        <v>210</v>
      </c>
      <c r="B9" s="2" t="s">
        <v>211</v>
      </c>
      <c r="C9" s="2" t="s">
        <v>218</v>
      </c>
      <c r="D9" s="2" t="n">
        <v>1665</v>
      </c>
      <c r="E9" s="2" t="n">
        <v>71</v>
      </c>
      <c r="F9" s="2" t="n">
        <v>497</v>
      </c>
      <c r="G9" s="2" t="n">
        <v>1264</v>
      </c>
      <c r="H9" s="2" t="n">
        <v>791</v>
      </c>
      <c r="I9" s="2" t="n">
        <v>459</v>
      </c>
      <c r="J9" s="2" t="n">
        <v>722</v>
      </c>
      <c r="K9" s="2" t="n">
        <v>2083</v>
      </c>
      <c r="L9" s="2" t="n">
        <v>567</v>
      </c>
      <c r="M9" s="2" t="n">
        <v>98</v>
      </c>
      <c r="N9" s="2" t="n">
        <v>754</v>
      </c>
      <c r="O9" s="2" t="n">
        <v>1753</v>
      </c>
      <c r="Q9" s="2" t="n">
        <f aca="false">F9+G9+H9</f>
        <v>2552</v>
      </c>
      <c r="U9" s="2" t="str">
        <f aca="false">A81</f>
        <v>Fraser-Mission-Mission</v>
      </c>
      <c r="V9" s="2" t="s">
        <v>15</v>
      </c>
      <c r="W9" s="2" t="n">
        <f aca="false">SUMIF($A$3:$A$522,$U9,Q$3:Q$522)</f>
        <v>13239</v>
      </c>
      <c r="X9" s="2" t="n">
        <f aca="false">SUMIF($A$3:$A$522,$U9,I$3:I$522)</f>
        <v>562</v>
      </c>
      <c r="Y9" s="2" t="n">
        <f aca="false">SUMIF($A$3:$A$522,$U9,J$3:J$522)</f>
        <v>4626</v>
      </c>
      <c r="Z9" s="2" t="n">
        <f aca="false">SUMIF($A$3:$A$522,$U9,K$3:K$522)</f>
        <v>9432</v>
      </c>
      <c r="AA9" s="2" t="n">
        <f aca="false">SUMIF($A$3:$A$522,$U9,L$3:L$522)</f>
        <v>4577</v>
      </c>
      <c r="AB9" s="2" t="n">
        <f aca="false">SUMIF($A$3:$A$522,$U9,M$3:M$522)</f>
        <v>623</v>
      </c>
      <c r="AC9" s="2" t="n">
        <f aca="false">SUM(X9:AB9)</f>
        <v>19820</v>
      </c>
      <c r="AD9" s="2" t="n">
        <f aca="false">SUMIF($A$3:$A$522,$U9,F$3:F$522)</f>
        <v>1212</v>
      </c>
      <c r="AE9" s="2" t="n">
        <f aca="false">SUMIF($A$3:$A$522,$U9,G$3:G$522)</f>
        <v>8395</v>
      </c>
      <c r="AF9" s="2" t="n">
        <f aca="false">SUMIF($A$3:$A$522,$U9,H$3:H$522)</f>
        <v>3632</v>
      </c>
      <c r="AG9" s="2" t="n">
        <f aca="false">SUMIF($A$3:$A$522,$U9,N$3:N$522)</f>
        <v>3764</v>
      </c>
      <c r="AI9" s="2" t="n">
        <f aca="false">SUMIF($A$525:$A$901,$U9,Q$525:Q$901)</f>
        <v>12031</v>
      </c>
      <c r="AJ9" s="40" t="n">
        <f aca="false">AI9*13/9</f>
        <v>17378.1111111111</v>
      </c>
      <c r="AK9" s="16" t="n">
        <f aca="false">AJ9/W9</f>
        <v>1.3126452988225</v>
      </c>
    </row>
    <row r="10" customFormat="false" ht="12.8" hidden="false" customHeight="false" outlineLevel="0" collapsed="false">
      <c r="A10" s="2" t="s">
        <v>210</v>
      </c>
      <c r="B10" s="2" t="s">
        <v>211</v>
      </c>
      <c r="C10" s="2" t="s">
        <v>219</v>
      </c>
      <c r="D10" s="2" t="n">
        <v>1536</v>
      </c>
      <c r="E10" s="2" t="n">
        <v>76</v>
      </c>
      <c r="F10" s="2" t="n">
        <v>522</v>
      </c>
      <c r="G10" s="2" t="n">
        <v>1176</v>
      </c>
      <c r="H10" s="2" t="n">
        <v>813</v>
      </c>
      <c r="I10" s="2" t="n">
        <v>424</v>
      </c>
      <c r="J10" s="2" t="n">
        <v>598</v>
      </c>
      <c r="K10" s="2" t="n">
        <v>2036</v>
      </c>
      <c r="L10" s="2" t="n">
        <v>599</v>
      </c>
      <c r="M10" s="2" t="n">
        <v>55</v>
      </c>
      <c r="N10" s="2" t="n">
        <v>779</v>
      </c>
      <c r="O10" s="2" t="n">
        <v>1714</v>
      </c>
      <c r="Q10" s="2" t="n">
        <f aca="false">F10+G10+H10</f>
        <v>2511</v>
      </c>
      <c r="U10" s="2" t="str">
        <f aca="false">A94</f>
        <v>Fraser-Ridge-Meadows-Ridge-Meadows</v>
      </c>
      <c r="V10" s="2" t="s">
        <v>8</v>
      </c>
      <c r="W10" s="2" t="n">
        <f aca="false">SUMIF($A$3:$A$522,$U10,Q$3:Q$522)</f>
        <v>22778</v>
      </c>
      <c r="X10" s="2" t="n">
        <f aca="false">SUMIF($A$3:$A$522,$U10,I$3:I$522)</f>
        <v>7333</v>
      </c>
      <c r="Y10" s="2" t="n">
        <f aca="false">SUMIF($A$3:$A$522,$U10,J$3:J$522)</f>
        <v>446</v>
      </c>
      <c r="Z10" s="2" t="n">
        <f aca="false">SUMIF($A$3:$A$522,$U10,K$3:K$522)</f>
        <v>24838</v>
      </c>
      <c r="AA10" s="2" t="n">
        <f aca="false">SUMIF($A$3:$A$522,$U10,L$3:L$522)</f>
        <v>2496</v>
      </c>
      <c r="AB10" s="2" t="n">
        <f aca="false">SUMIF($A$3:$A$522,$U10,M$3:M$522)</f>
        <v>165</v>
      </c>
      <c r="AC10" s="2" t="n">
        <f aca="false">SUM(X10:AB10)</f>
        <v>35278</v>
      </c>
      <c r="AD10" s="2" t="n">
        <f aca="false">SUMIF($A$3:$A$522,$U10,F$3:F$522)</f>
        <v>0</v>
      </c>
      <c r="AE10" s="2" t="n">
        <f aca="false">SUMIF($A$3:$A$522,$U10,G$3:G$522)</f>
        <v>18896</v>
      </c>
      <c r="AF10" s="2" t="n">
        <f aca="false">SUMIF($A$3:$A$522,$U10,H$3:H$522)</f>
        <v>3882</v>
      </c>
      <c r="AG10" s="2" t="n">
        <f aca="false">SUMIF($A$3:$A$522,$U10,N$3:N$522)</f>
        <v>19115</v>
      </c>
      <c r="AI10" s="2" t="n">
        <f aca="false">SUMIF($A$525:$A$901,$U10,Q$525:Q$901)</f>
        <v>11963</v>
      </c>
      <c r="AJ10" s="40" t="n">
        <f aca="false">AI10*13/9</f>
        <v>17279.8888888889</v>
      </c>
      <c r="AK10" s="16" t="n">
        <f aca="false">AJ10/W10</f>
        <v>0.758621867103736</v>
      </c>
    </row>
    <row r="11" customFormat="false" ht="12.8" hidden="false" customHeight="false" outlineLevel="0" collapsed="false">
      <c r="A11" s="2" t="s">
        <v>210</v>
      </c>
      <c r="B11" s="2" t="s">
        <v>211</v>
      </c>
      <c r="C11" s="2" t="s">
        <v>220</v>
      </c>
      <c r="D11" s="2" t="n">
        <v>1458</v>
      </c>
      <c r="E11" s="2" t="n">
        <v>89</v>
      </c>
      <c r="F11" s="2" t="n">
        <v>404</v>
      </c>
      <c r="G11" s="2" t="n">
        <v>1165</v>
      </c>
      <c r="H11" s="2" t="n">
        <v>737</v>
      </c>
      <c r="I11" s="2" t="n">
        <v>358</v>
      </c>
      <c r="J11" s="2" t="n">
        <v>532</v>
      </c>
      <c r="K11" s="2" t="n">
        <v>1906</v>
      </c>
      <c r="L11" s="2" t="n">
        <v>776</v>
      </c>
      <c r="M11" s="2" t="n">
        <v>38</v>
      </c>
      <c r="N11" s="2" t="n">
        <v>554</v>
      </c>
      <c r="O11" s="2" t="n">
        <v>1643</v>
      </c>
      <c r="Q11" s="2" t="n">
        <f aca="false">F11+G11+H11</f>
        <v>2306</v>
      </c>
      <c r="U11" s="2" t="str">
        <f aca="false">A107</f>
        <v>Fraser-Surrey-North-Delta-North-Surrey-Wha</v>
      </c>
      <c r="V11" s="2" t="s">
        <v>6</v>
      </c>
      <c r="W11" s="2" t="n">
        <f aca="false">SUMIF($A$3:$A$522,$U11,Q$3:Q$522)</f>
        <v>32454</v>
      </c>
      <c r="X11" s="2" t="n">
        <f aca="false">SUMIF($A$3:$A$522,$U11,I$3:I$522)</f>
        <v>7184</v>
      </c>
      <c r="Y11" s="2" t="n">
        <f aca="false">SUMIF($A$3:$A$522,$U11,J$3:J$522)</f>
        <v>5244</v>
      </c>
      <c r="Z11" s="2" t="n">
        <f aca="false">SUMIF($A$3:$A$522,$U11,K$3:K$522)</f>
        <v>29827</v>
      </c>
      <c r="AA11" s="2" t="n">
        <f aca="false">SUMIF($A$3:$A$522,$U11,L$3:L$522)</f>
        <v>3444</v>
      </c>
      <c r="AB11" s="2" t="n">
        <f aca="false">SUMIF($A$3:$A$522,$U11,M$3:M$522)</f>
        <v>1536</v>
      </c>
      <c r="AC11" s="2" t="n">
        <f aca="false">SUM(X11:AB11)</f>
        <v>47235</v>
      </c>
      <c r="AD11" s="2" t="n">
        <f aca="false">SUMIF($A$3:$A$522,$U11,F$3:F$522)</f>
        <v>9197</v>
      </c>
      <c r="AE11" s="2" t="n">
        <f aca="false">SUMIF($A$3:$A$522,$U11,G$3:G$522)</f>
        <v>7466</v>
      </c>
      <c r="AF11" s="2" t="n">
        <f aca="false">SUMIF($A$3:$A$522,$U11,H$3:H$522)</f>
        <v>15791</v>
      </c>
      <c r="AG11" s="2" t="n">
        <f aca="false">SUMIF($A$3:$A$522,$U11,N$3:N$522)</f>
        <v>10977</v>
      </c>
      <c r="AI11" s="2" t="n">
        <f aca="false">SUMIF($A$525:$A$901,$U11,Q$525:Q$901)</f>
        <v>34509</v>
      </c>
      <c r="AJ11" s="40" t="n">
        <f aca="false">AI11*13/9</f>
        <v>49846.3333333333</v>
      </c>
      <c r="AK11" s="16" t="n">
        <f aca="false">AJ11/W11</f>
        <v>1.5359072328013</v>
      </c>
    </row>
    <row r="12" customFormat="false" ht="12.8" hidden="false" customHeight="false" outlineLevel="0" collapsed="false">
      <c r="A12" s="2" t="s">
        <v>210</v>
      </c>
      <c r="B12" s="2" t="s">
        <v>211</v>
      </c>
      <c r="C12" s="2" t="s">
        <v>221</v>
      </c>
      <c r="D12" s="2" t="n">
        <v>1461</v>
      </c>
      <c r="E12" s="2" t="n">
        <v>74</v>
      </c>
      <c r="F12" s="2" t="n">
        <v>414</v>
      </c>
      <c r="G12" s="2" t="n">
        <v>1187</v>
      </c>
      <c r="H12" s="2" t="n">
        <v>780</v>
      </c>
      <c r="I12" s="2" t="n">
        <v>394</v>
      </c>
      <c r="J12" s="2" t="n">
        <v>537</v>
      </c>
      <c r="K12" s="2" t="n">
        <v>1936</v>
      </c>
      <c r="L12" s="2" t="n">
        <v>887</v>
      </c>
      <c r="M12" s="2" t="n">
        <v>80</v>
      </c>
      <c r="N12" s="2" t="n">
        <v>741</v>
      </c>
      <c r="O12" s="2" t="n">
        <v>1745</v>
      </c>
      <c r="Q12" s="2" t="n">
        <f aca="false">F12+G12+H12</f>
        <v>2381</v>
      </c>
      <c r="U12" s="2" t="str">
        <f aca="false">A120</f>
        <v>Fraser-Surrey-North-Delta-Surrey-Newton</v>
      </c>
      <c r="V12" s="2" t="s">
        <v>10</v>
      </c>
      <c r="W12" s="2" t="n">
        <f aca="false">SUMIF($A$3:$A$522,$U12,Q$3:Q$522)</f>
        <v>22802</v>
      </c>
      <c r="X12" s="2" t="n">
        <f aca="false">SUMIF($A$3:$A$522,$U12,I$3:I$522)</f>
        <v>7655</v>
      </c>
      <c r="Y12" s="2" t="n">
        <f aca="false">SUMIF($A$3:$A$522,$U12,J$3:J$522)</f>
        <v>4654</v>
      </c>
      <c r="Z12" s="2" t="n">
        <f aca="false">SUMIF($A$3:$A$522,$U12,K$3:K$522)</f>
        <v>17167</v>
      </c>
      <c r="AA12" s="2" t="n">
        <f aca="false">SUMIF($A$3:$A$522,$U12,L$3:L$522)</f>
        <v>3755</v>
      </c>
      <c r="AB12" s="2" t="n">
        <f aca="false">SUMIF($A$3:$A$522,$U12,M$3:M$522)</f>
        <v>1760</v>
      </c>
      <c r="AC12" s="2" t="n">
        <f aca="false">SUM(X12:AB12)</f>
        <v>34991</v>
      </c>
      <c r="AD12" s="2" t="n">
        <f aca="false">SUMIF($A$3:$A$522,$U12,F$3:F$522)</f>
        <v>7952</v>
      </c>
      <c r="AE12" s="2" t="n">
        <f aca="false">SUMIF($A$3:$A$522,$U12,G$3:G$522)</f>
        <v>6707</v>
      </c>
      <c r="AF12" s="2" t="n">
        <f aca="false">SUMIF($A$3:$A$522,$U12,H$3:H$522)</f>
        <v>8143</v>
      </c>
      <c r="AG12" s="2" t="n">
        <f aca="false">SUMIF($A$3:$A$522,$U12,N$3:N$522)</f>
        <v>10914</v>
      </c>
      <c r="AI12" s="2" t="n">
        <f aca="false">SUMIF($A$525:$A$901,$U12,Q$525:Q$901)</f>
        <v>18735</v>
      </c>
      <c r="AJ12" s="40" t="n">
        <f aca="false">AI12*13/9</f>
        <v>27061.6666666667</v>
      </c>
      <c r="AK12" s="16" t="n">
        <f aca="false">AJ12/W12</f>
        <v>1.18681109844166</v>
      </c>
    </row>
    <row r="13" customFormat="false" ht="12.8" hidden="false" customHeight="false" outlineLevel="0" collapsed="false">
      <c r="A13" s="2" t="s">
        <v>210</v>
      </c>
      <c r="B13" s="2" t="s">
        <v>211</v>
      </c>
      <c r="C13" s="2" t="s">
        <v>222</v>
      </c>
      <c r="D13" s="2" t="n">
        <v>1480</v>
      </c>
      <c r="E13" s="2" t="n">
        <v>71</v>
      </c>
      <c r="F13" s="2" t="n">
        <v>461</v>
      </c>
      <c r="G13" s="2" t="n">
        <v>1265</v>
      </c>
      <c r="H13" s="2" t="n">
        <v>779</v>
      </c>
      <c r="I13" s="2" t="n">
        <v>480</v>
      </c>
      <c r="J13" s="2" t="n">
        <v>556</v>
      </c>
      <c r="K13" s="2" t="n">
        <v>2081</v>
      </c>
      <c r="L13" s="2" t="n">
        <v>695</v>
      </c>
      <c r="M13" s="2" t="n">
        <v>83</v>
      </c>
      <c r="N13" s="2" t="n">
        <v>783</v>
      </c>
      <c r="O13" s="2" t="n">
        <v>1839</v>
      </c>
      <c r="Q13" s="2" t="n">
        <f aca="false">F13+G13+H13</f>
        <v>2505</v>
      </c>
      <c r="U13" s="2" t="str">
        <f aca="false">A133</f>
        <v>Interior-Central-Okanagan-Kelowna</v>
      </c>
      <c r="V13" s="2" t="s">
        <v>18</v>
      </c>
      <c r="W13" s="2" t="n">
        <f aca="false">SUMIF($A$3:$A$522,$U13,Q$3:Q$522)</f>
        <v>50784</v>
      </c>
      <c r="X13" s="2" t="n">
        <f aca="false">SUMIF($A$3:$A$522,$U13,I$3:I$522)</f>
        <v>28188</v>
      </c>
      <c r="Y13" s="2" t="n">
        <f aca="false">SUMIF($A$3:$A$522,$U13,J$3:J$522)</f>
        <v>8524</v>
      </c>
      <c r="Z13" s="2" t="n">
        <f aca="false">SUMIF($A$3:$A$522,$U13,K$3:K$522)</f>
        <v>42747</v>
      </c>
      <c r="AA13" s="2" t="n">
        <f aca="false">SUMIF($A$3:$A$522,$U13,L$3:L$522)</f>
        <v>2015</v>
      </c>
      <c r="AB13" s="2" t="n">
        <f aca="false">SUMIF($A$3:$A$522,$U13,M$3:M$522)</f>
        <v>10304</v>
      </c>
      <c r="AC13" s="2" t="n">
        <f aca="false">SUM(X13:AB13)</f>
        <v>91778</v>
      </c>
      <c r="AD13" s="2" t="n">
        <f aca="false">SUMIF($A$3:$A$522,$U13,F$3:F$522)</f>
        <v>3039</v>
      </c>
      <c r="AE13" s="2" t="n">
        <f aca="false">SUMIF($A$3:$A$522,$U13,G$3:G$522)</f>
        <v>26200</v>
      </c>
      <c r="AF13" s="2" t="n">
        <f aca="false">SUMIF($A$3:$A$522,$U13,H$3:H$522)</f>
        <v>21545</v>
      </c>
      <c r="AG13" s="2" t="n">
        <f aca="false">SUMIF($A$3:$A$522,$U13,N$3:N$522)</f>
        <v>3665</v>
      </c>
      <c r="AI13" s="2" t="n">
        <f aca="false">SUMIF($A$525:$A$901,$U13,Q$525:Q$901)</f>
        <v>34321</v>
      </c>
      <c r="AJ13" s="40" t="n">
        <f aca="false">AI13*13/9</f>
        <v>49574.7777777778</v>
      </c>
      <c r="AK13" s="16" t="n">
        <f aca="false">AJ13/W13</f>
        <v>0.976188913393545</v>
      </c>
    </row>
    <row r="14" customFormat="false" ht="12.8" hidden="false" customHeight="false" outlineLevel="0" collapsed="false">
      <c r="A14" s="2" t="s">
        <v>210</v>
      </c>
      <c r="B14" s="2" t="s">
        <v>211</v>
      </c>
      <c r="C14" s="2" t="s">
        <v>223</v>
      </c>
      <c r="D14" s="2" t="n">
        <v>1629</v>
      </c>
      <c r="E14" s="2" t="n">
        <v>78</v>
      </c>
      <c r="F14" s="2" t="n">
        <v>417</v>
      </c>
      <c r="G14" s="2" t="n">
        <v>1562</v>
      </c>
      <c r="H14" s="2" t="n">
        <v>857</v>
      </c>
      <c r="I14" s="2" t="n">
        <v>395</v>
      </c>
      <c r="J14" s="2" t="n">
        <v>610</v>
      </c>
      <c r="K14" s="2" t="n">
        <v>2401</v>
      </c>
      <c r="L14" s="2" t="n">
        <v>750</v>
      </c>
      <c r="M14" s="2" t="n">
        <v>63</v>
      </c>
      <c r="N14" s="2" t="n">
        <v>1208</v>
      </c>
      <c r="O14" s="2" t="n">
        <v>1965</v>
      </c>
      <c r="Q14" s="2" t="n">
        <f aca="false">F14+G14+H14</f>
        <v>2836</v>
      </c>
      <c r="U14" s="2" t="str">
        <f aca="false">A146</f>
        <v>Interior-Central-Okanagan-Rutland</v>
      </c>
      <c r="V14" s="2" t="s">
        <v>24</v>
      </c>
      <c r="W14" s="2" t="n">
        <f aca="false">SUMIF($A$3:$A$522,$U14,Q$3:Q$522)</f>
        <v>25153</v>
      </c>
      <c r="X14" s="2" t="n">
        <f aca="false">SUMIF($A$3:$A$522,$U14,I$3:I$522)</f>
        <v>8057</v>
      </c>
      <c r="Y14" s="2" t="n">
        <f aca="false">SUMIF($A$3:$A$522,$U14,J$3:J$522)</f>
        <v>10615</v>
      </c>
      <c r="Z14" s="2" t="n">
        <f aca="false">SUMIF($A$3:$A$522,$U14,K$3:K$522)</f>
        <v>17145</v>
      </c>
      <c r="AA14" s="2" t="n">
        <f aca="false">SUMIF($A$3:$A$522,$U14,L$3:L$522)</f>
        <v>0</v>
      </c>
      <c r="AB14" s="2" t="n">
        <f aca="false">SUMIF($A$3:$A$522,$U14,M$3:M$522)</f>
        <v>2928</v>
      </c>
      <c r="AC14" s="2" t="n">
        <f aca="false">SUM(X14:AB14)</f>
        <v>38745</v>
      </c>
      <c r="AD14" s="2" t="n">
        <f aca="false">SUMIF($A$3:$A$522,$U14,F$3:F$522)</f>
        <v>7056</v>
      </c>
      <c r="AE14" s="2" t="n">
        <f aca="false">SUMIF($A$3:$A$522,$U14,G$3:G$522)</f>
        <v>9045</v>
      </c>
      <c r="AF14" s="2" t="n">
        <f aca="false">SUMIF($A$3:$A$522,$U14,H$3:H$522)</f>
        <v>9052</v>
      </c>
      <c r="AG14" s="2" t="n">
        <f aca="false">SUMIF($A$3:$A$522,$U14,N$3:N$522)</f>
        <v>2961</v>
      </c>
      <c r="AI14" s="2" t="n">
        <f aca="false">SUMIF($A$525:$A$901,$U14,Q$525:Q$901)</f>
        <v>20809</v>
      </c>
      <c r="AJ14" s="40" t="n">
        <f aca="false">AI14*13/9</f>
        <v>30057.4444444444</v>
      </c>
      <c r="AK14" s="16" t="n">
        <f aca="false">AJ14/W14</f>
        <v>1.19498447280422</v>
      </c>
    </row>
    <row r="15" customFormat="false" ht="12.8" hidden="false" customHeight="false" outlineLevel="0" collapsed="false">
      <c r="A15" s="2" t="s">
        <v>210</v>
      </c>
      <c r="B15" s="2" t="s">
        <v>211</v>
      </c>
      <c r="C15" s="2" t="s">
        <v>224</v>
      </c>
      <c r="D15" s="2" t="n">
        <v>1669</v>
      </c>
      <c r="E15" s="2" t="n">
        <v>64</v>
      </c>
      <c r="F15" s="2" t="n">
        <v>456</v>
      </c>
      <c r="G15" s="2" t="n">
        <v>1586</v>
      </c>
      <c r="H15" s="2" t="n">
        <v>846</v>
      </c>
      <c r="I15" s="2" t="n">
        <v>649</v>
      </c>
      <c r="J15" s="2" t="n">
        <v>525</v>
      </c>
      <c r="K15" s="2" t="n">
        <v>2421</v>
      </c>
      <c r="L15" s="2" t="n">
        <v>790</v>
      </c>
      <c r="M15" s="2" t="n">
        <v>113</v>
      </c>
      <c r="N15" s="2" t="n">
        <v>1335</v>
      </c>
      <c r="O15" s="2" t="n">
        <v>2149</v>
      </c>
      <c r="Q15" s="2" t="n">
        <f aca="false">F15+G15+H15</f>
        <v>2888</v>
      </c>
      <c r="U15" s="2" t="str">
        <f aca="false">A159</f>
        <v>Interior-Central-Okanagan-West-Kelowna</v>
      </c>
      <c r="V15" s="2" t="s">
        <v>20</v>
      </c>
      <c r="W15" s="2" t="n">
        <f aca="false">SUMIF($A$3:$A$522,$U15,Q$3:Q$522)</f>
        <v>29045</v>
      </c>
      <c r="X15" s="2" t="n">
        <f aca="false">SUMIF($A$3:$A$522,$U15,I$3:I$522)</f>
        <v>9717</v>
      </c>
      <c r="Y15" s="2" t="n">
        <f aca="false">SUMIF($A$3:$A$522,$U15,J$3:J$522)</f>
        <v>7708</v>
      </c>
      <c r="Z15" s="2" t="n">
        <f aca="false">SUMIF($A$3:$A$522,$U15,K$3:K$522)</f>
        <v>22419</v>
      </c>
      <c r="AA15" s="2" t="n">
        <f aca="false">SUMIF($A$3:$A$522,$U15,L$3:L$522)</f>
        <v>0</v>
      </c>
      <c r="AB15" s="2" t="n">
        <f aca="false">SUMIF($A$3:$A$522,$U15,M$3:M$522)</f>
        <v>5682</v>
      </c>
      <c r="AC15" s="2" t="n">
        <f aca="false">SUM(X15:AB15)</f>
        <v>45526</v>
      </c>
      <c r="AD15" s="2" t="n">
        <f aca="false">SUMIF($A$3:$A$522,$U15,F$3:F$522)</f>
        <v>8545</v>
      </c>
      <c r="AE15" s="2" t="n">
        <f aca="false">SUMIF($A$3:$A$522,$U15,G$3:G$522)</f>
        <v>14324</v>
      </c>
      <c r="AF15" s="2" t="n">
        <f aca="false">SUMIF($A$3:$A$522,$U15,H$3:H$522)</f>
        <v>6176</v>
      </c>
      <c r="AG15" s="2" t="n">
        <f aca="false">SUMIF($A$3:$A$522,$U15,N$3:N$522)</f>
        <v>6099</v>
      </c>
      <c r="AI15" s="2" t="n">
        <f aca="false">SUMIF($A$525:$A$901,$U15,Q$525:Q$901)</f>
        <v>17834</v>
      </c>
      <c r="AJ15" s="40" t="n">
        <f aca="false">AI15*13/9</f>
        <v>25760.2222222222</v>
      </c>
      <c r="AK15" s="16" t="n">
        <f aca="false">AJ15/W15</f>
        <v>0.88690728945506</v>
      </c>
    </row>
    <row r="16" customFormat="false" ht="12.8" hidden="false" customHeight="false" outlineLevel="0" collapsed="false">
      <c r="A16" s="2" t="s">
        <v>225</v>
      </c>
      <c r="B16" s="2" t="s">
        <v>211</v>
      </c>
      <c r="C16" s="2" t="s">
        <v>212</v>
      </c>
      <c r="D16" s="2" t="n">
        <v>810</v>
      </c>
      <c r="E16" s="2" t="n">
        <v>0</v>
      </c>
      <c r="F16" s="2" t="n">
        <v>0</v>
      </c>
      <c r="G16" s="2" t="n">
        <v>687</v>
      </c>
      <c r="H16" s="2" t="n">
        <v>123</v>
      </c>
      <c r="I16" s="2" t="n">
        <v>253</v>
      </c>
      <c r="J16" s="2" t="n">
        <v>0</v>
      </c>
      <c r="K16" s="2" t="n">
        <v>668</v>
      </c>
      <c r="L16" s="2" t="n">
        <v>0</v>
      </c>
      <c r="M16" s="2" t="n">
        <v>146</v>
      </c>
      <c r="N16" s="2" t="n">
        <v>627</v>
      </c>
      <c r="O16" s="2" t="n">
        <v>1067</v>
      </c>
      <c r="Q16" s="2" t="n">
        <f aca="false">F16+G16+H16</f>
        <v>810</v>
      </c>
      <c r="U16" s="2" t="str">
        <f aca="false">A172</f>
        <v>Interior-East-Kootenay-Cranbrook</v>
      </c>
      <c r="V16" s="2" t="s">
        <v>22</v>
      </c>
      <c r="W16" s="2" t="n">
        <f aca="false">SUMIF($A$3:$A$522,$U16,Q$3:Q$522)</f>
        <v>18003</v>
      </c>
      <c r="X16" s="2" t="n">
        <f aca="false">SUMIF($A$3:$A$522,$U16,I$3:I$522)</f>
        <v>3862</v>
      </c>
      <c r="Y16" s="2" t="n">
        <f aca="false">SUMIF($A$3:$A$522,$U16,J$3:J$522)</f>
        <v>4836</v>
      </c>
      <c r="Z16" s="2" t="n">
        <f aca="false">SUMIF($A$3:$A$522,$U16,K$3:K$522)</f>
        <v>13998</v>
      </c>
      <c r="AA16" s="2" t="n">
        <f aca="false">SUMIF($A$3:$A$522,$U16,L$3:L$522)</f>
        <v>0</v>
      </c>
      <c r="AB16" s="2" t="n">
        <f aca="false">SUMIF($A$3:$A$522,$U16,M$3:M$522)</f>
        <v>4268</v>
      </c>
      <c r="AC16" s="2" t="n">
        <f aca="false">SUM(X16:AB16)</f>
        <v>26964</v>
      </c>
      <c r="AD16" s="2" t="n">
        <f aca="false">SUMIF($A$3:$A$522,$U16,F$3:F$522)</f>
        <v>0</v>
      </c>
      <c r="AE16" s="2" t="n">
        <f aca="false">SUMIF($A$3:$A$522,$U16,G$3:G$522)</f>
        <v>6480</v>
      </c>
      <c r="AF16" s="2" t="n">
        <f aca="false">SUMIF($A$3:$A$522,$U16,H$3:H$522)</f>
        <v>11523</v>
      </c>
      <c r="AG16" s="2" t="n">
        <f aca="false">SUMIF($A$3:$A$522,$U16,N$3:N$522)</f>
        <v>3720</v>
      </c>
      <c r="AI16" s="2" t="n">
        <f aca="false">SUMIF($A$525:$A$901,$U16,Q$525:Q$901)</f>
        <v>12242</v>
      </c>
      <c r="AJ16" s="40" t="n">
        <f aca="false">AI16*13/9</f>
        <v>17682.8888888889</v>
      </c>
      <c r="AK16" s="16" t="n">
        <f aca="false">AJ16/W16</f>
        <v>0.982219012880569</v>
      </c>
    </row>
    <row r="17" customFormat="false" ht="12.8" hidden="false" customHeight="false" outlineLevel="0" collapsed="false">
      <c r="A17" s="2" t="s">
        <v>225</v>
      </c>
      <c r="B17" s="2" t="s">
        <v>211</v>
      </c>
      <c r="C17" s="2" t="s">
        <v>213</v>
      </c>
      <c r="D17" s="2" t="n">
        <v>741</v>
      </c>
      <c r="E17" s="2" t="n">
        <v>0</v>
      </c>
      <c r="F17" s="2" t="n">
        <v>0</v>
      </c>
      <c r="G17" s="2" t="n">
        <v>581</v>
      </c>
      <c r="H17" s="2" t="n">
        <v>160</v>
      </c>
      <c r="I17" s="2" t="n">
        <v>357</v>
      </c>
      <c r="J17" s="2" t="n">
        <v>0</v>
      </c>
      <c r="K17" s="2" t="n">
        <v>785</v>
      </c>
      <c r="L17" s="2" t="n">
        <v>0</v>
      </c>
      <c r="M17" s="2" t="n">
        <v>90</v>
      </c>
      <c r="N17" s="2" t="n">
        <v>549</v>
      </c>
      <c r="O17" s="2" t="n">
        <v>1232</v>
      </c>
      <c r="Q17" s="2" t="n">
        <f aca="false">F17+G17+H17</f>
        <v>741</v>
      </c>
      <c r="U17" s="2" t="str">
        <f aca="false">A185</f>
        <v>Interior-Interior-Rural-and-RemAshcroft</v>
      </c>
      <c r="V17" s="2" t="s">
        <v>23</v>
      </c>
      <c r="W17" s="2" t="n">
        <f aca="false">SUMIF($A$3:$A$522,$U17,Q$3:Q$522)</f>
        <v>10776</v>
      </c>
      <c r="X17" s="2" t="n">
        <f aca="false">SUMIF($A$3:$A$522,$U17,I$3:I$522)</f>
        <v>8373</v>
      </c>
      <c r="Y17" s="2" t="n">
        <f aca="false">SUMIF($A$3:$A$522,$U17,J$3:J$522)</f>
        <v>238</v>
      </c>
      <c r="Z17" s="2" t="n">
        <f aca="false">SUMIF($A$3:$A$522,$U17,K$3:K$522)</f>
        <v>10329</v>
      </c>
      <c r="AA17" s="2" t="n">
        <f aca="false">SUMIF($A$3:$A$522,$U17,L$3:L$522)</f>
        <v>0</v>
      </c>
      <c r="AB17" s="2" t="n">
        <f aca="false">SUMIF($A$3:$A$522,$U17,M$3:M$522)</f>
        <v>8</v>
      </c>
      <c r="AC17" s="2" t="n">
        <f aca="false">SUM(X17:AB17)</f>
        <v>18948</v>
      </c>
      <c r="AD17" s="2" t="n">
        <f aca="false">SUMIF($A$3:$A$522,$U17,F$3:F$522)</f>
        <v>0</v>
      </c>
      <c r="AE17" s="2" t="n">
        <f aca="false">SUMIF($A$3:$A$522,$U17,G$3:G$522)</f>
        <v>1782</v>
      </c>
      <c r="AF17" s="2" t="n">
        <f aca="false">SUMIF($A$3:$A$522,$U17,H$3:H$522)</f>
        <v>8994</v>
      </c>
      <c r="AG17" s="2" t="n">
        <f aca="false">SUMIF($A$3:$A$522,$U17,N$3:N$522)</f>
        <v>1826</v>
      </c>
      <c r="AI17" s="2" t="n">
        <f aca="false">SUMIF($A$525:$A$901,$U17,Q$525:Q$901)</f>
        <v>9000</v>
      </c>
      <c r="AJ17" s="40" t="n">
        <f aca="false">AI17*13/9</f>
        <v>13000</v>
      </c>
      <c r="AK17" s="16" t="n">
        <f aca="false">AJ17/W17</f>
        <v>1.20638455827765</v>
      </c>
    </row>
    <row r="18" customFormat="false" ht="12.8" hidden="false" customHeight="false" outlineLevel="0" collapsed="false">
      <c r="A18" s="2" t="s">
        <v>225</v>
      </c>
      <c r="B18" s="2" t="s">
        <v>211</v>
      </c>
      <c r="C18" s="2" t="s">
        <v>214</v>
      </c>
      <c r="D18" s="2" t="n">
        <v>847</v>
      </c>
      <c r="E18" s="2" t="n">
        <v>0</v>
      </c>
      <c r="F18" s="2" t="n">
        <v>0</v>
      </c>
      <c r="G18" s="2" t="n">
        <v>673</v>
      </c>
      <c r="H18" s="2" t="n">
        <v>174</v>
      </c>
      <c r="I18" s="2" t="n">
        <v>347</v>
      </c>
      <c r="J18" s="2" t="n">
        <v>0</v>
      </c>
      <c r="K18" s="2" t="n">
        <v>832</v>
      </c>
      <c r="L18" s="2" t="n">
        <v>0</v>
      </c>
      <c r="M18" s="2" t="n">
        <v>126</v>
      </c>
      <c r="N18" s="2" t="n">
        <v>713</v>
      </c>
      <c r="O18" s="2" t="n">
        <v>1305</v>
      </c>
      <c r="Q18" s="2" t="n">
        <f aca="false">F18+G18+H18</f>
        <v>847</v>
      </c>
      <c r="U18" s="2" t="str">
        <f aca="false">A198</f>
        <v>Interior-Kootenay-Boundary-Castlegar</v>
      </c>
      <c r="V18" s="2" t="s">
        <v>19</v>
      </c>
      <c r="W18" s="2" t="n">
        <f aca="false">SUMIF($A$3:$A$522,$U18,Q$3:Q$522)</f>
        <v>6755</v>
      </c>
      <c r="X18" s="2" t="n">
        <f aca="false">SUMIF($A$3:$A$522,$U18,I$3:I$522)</f>
        <v>368</v>
      </c>
      <c r="Y18" s="2" t="n">
        <f aca="false">SUMIF($A$3:$A$522,$U18,J$3:J$522)</f>
        <v>632</v>
      </c>
      <c r="Z18" s="2" t="n">
        <f aca="false">SUMIF($A$3:$A$522,$U18,K$3:K$522)</f>
        <v>4294</v>
      </c>
      <c r="AA18" s="2" t="n">
        <f aca="false">SUMIF($A$3:$A$522,$U18,L$3:L$522)</f>
        <v>0</v>
      </c>
      <c r="AB18" s="2" t="n">
        <f aca="false">SUMIF($A$3:$A$522,$U18,M$3:M$522)</f>
        <v>2520</v>
      </c>
      <c r="AC18" s="2" t="n">
        <f aca="false">SUM(X18:AB18)</f>
        <v>7814</v>
      </c>
      <c r="AD18" s="2" t="n">
        <f aca="false">SUMIF($A$3:$A$522,$U18,F$3:F$522)</f>
        <v>0</v>
      </c>
      <c r="AE18" s="2" t="n">
        <f aca="false">SUMIF($A$3:$A$522,$U18,G$3:G$522)</f>
        <v>2308</v>
      </c>
      <c r="AF18" s="2" t="n">
        <f aca="false">SUMIF($A$3:$A$522,$U18,H$3:H$522)</f>
        <v>4447</v>
      </c>
      <c r="AG18" s="2" t="n">
        <f aca="false">SUMIF($A$3:$A$522,$U18,N$3:N$522)</f>
        <v>604</v>
      </c>
      <c r="AI18" s="2" t="n">
        <f aca="false">SUMIF($A$525:$A$901,$U18,Q$525:Q$901)</f>
        <v>6672</v>
      </c>
      <c r="AJ18" s="40" t="n">
        <f aca="false">AI18*13/9</f>
        <v>9637.33333333333</v>
      </c>
      <c r="AK18" s="16" t="n">
        <f aca="false">AJ18/W18</f>
        <v>1.42669627436467</v>
      </c>
    </row>
    <row r="19" customFormat="false" ht="12.8" hidden="false" customHeight="false" outlineLevel="0" collapsed="false">
      <c r="A19" s="2" t="s">
        <v>225</v>
      </c>
      <c r="B19" s="2" t="s">
        <v>211</v>
      </c>
      <c r="C19" s="2" t="s">
        <v>215</v>
      </c>
      <c r="D19" s="2" t="n">
        <v>734</v>
      </c>
      <c r="E19" s="2" t="n">
        <v>0</v>
      </c>
      <c r="F19" s="2" t="n">
        <v>0</v>
      </c>
      <c r="G19" s="2" t="n">
        <v>612</v>
      </c>
      <c r="H19" s="2" t="n">
        <v>122</v>
      </c>
      <c r="I19" s="2" t="n">
        <v>306</v>
      </c>
      <c r="J19" s="2" t="n">
        <v>0</v>
      </c>
      <c r="K19" s="2" t="n">
        <v>756</v>
      </c>
      <c r="L19" s="2" t="n">
        <v>0</v>
      </c>
      <c r="M19" s="2" t="n">
        <v>127</v>
      </c>
      <c r="N19" s="2" t="n">
        <v>642</v>
      </c>
      <c r="O19" s="2" t="n">
        <v>1189</v>
      </c>
      <c r="Q19" s="2" t="n">
        <f aca="false">F19+G19+H19</f>
        <v>734</v>
      </c>
      <c r="U19" s="2" t="str">
        <f aca="false">A211</f>
        <v>Interior-Shuswap-North-OkanaVernon</v>
      </c>
      <c r="V19" s="2" t="s">
        <v>17</v>
      </c>
      <c r="W19" s="2" t="n">
        <f aca="false">SUMIF($A$3:$A$522,$U19,Q$3:Q$522)</f>
        <v>19970</v>
      </c>
      <c r="X19" s="2" t="n">
        <f aca="false">SUMIF($A$3:$A$522,$U19,I$3:I$522)</f>
        <v>2905</v>
      </c>
      <c r="Y19" s="2" t="n">
        <f aca="false">SUMIF($A$3:$A$522,$U19,J$3:J$522)</f>
        <v>5240</v>
      </c>
      <c r="Z19" s="2" t="n">
        <f aca="false">SUMIF($A$3:$A$522,$U19,K$3:K$522)</f>
        <v>16108</v>
      </c>
      <c r="AA19" s="2" t="n">
        <f aca="false">SUMIF($A$3:$A$522,$U19,L$3:L$522)</f>
        <v>363</v>
      </c>
      <c r="AB19" s="2" t="n">
        <f aca="false">SUMIF($A$3:$A$522,$U19,M$3:M$522)</f>
        <v>2356</v>
      </c>
      <c r="AC19" s="2" t="n">
        <f aca="false">SUM(X19:AB19)</f>
        <v>26972</v>
      </c>
      <c r="AD19" s="2" t="n">
        <f aca="false">SUMIF($A$3:$A$522,$U19,F$3:F$522)</f>
        <v>8339</v>
      </c>
      <c r="AE19" s="2" t="n">
        <f aca="false">SUMIF($A$3:$A$522,$U19,G$3:G$522)</f>
        <v>7599</v>
      </c>
      <c r="AF19" s="2" t="n">
        <f aca="false">SUMIF($A$3:$A$522,$U19,H$3:H$522)</f>
        <v>4032</v>
      </c>
      <c r="AG19" s="2" t="n">
        <f aca="false">SUMIF($A$3:$A$522,$U19,N$3:N$522)</f>
        <v>2526</v>
      </c>
      <c r="AI19" s="2" t="n">
        <f aca="false">SUMIF($A$525:$A$901,$U19,Q$525:Q$901)</f>
        <v>12787</v>
      </c>
      <c r="AJ19" s="40" t="n">
        <f aca="false">AI19*13/9</f>
        <v>18470.1111111111</v>
      </c>
      <c r="AK19" s="16" t="n">
        <f aca="false">AJ19/W19</f>
        <v>0.924892894897902</v>
      </c>
    </row>
    <row r="20" customFormat="false" ht="12.8" hidden="false" customHeight="false" outlineLevel="0" collapsed="false">
      <c r="A20" s="2" t="s">
        <v>225</v>
      </c>
      <c r="B20" s="2" t="s">
        <v>211</v>
      </c>
      <c r="C20" s="2" t="s">
        <v>216</v>
      </c>
      <c r="D20" s="2" t="n">
        <v>987</v>
      </c>
      <c r="E20" s="2" t="n">
        <v>0</v>
      </c>
      <c r="F20" s="2" t="n">
        <v>0</v>
      </c>
      <c r="G20" s="2" t="n">
        <v>832</v>
      </c>
      <c r="H20" s="2" t="n">
        <v>155</v>
      </c>
      <c r="I20" s="2" t="n">
        <v>471</v>
      </c>
      <c r="J20" s="2" t="n">
        <v>0</v>
      </c>
      <c r="K20" s="2" t="n">
        <v>1056</v>
      </c>
      <c r="L20" s="2" t="n">
        <v>0</v>
      </c>
      <c r="M20" s="2" t="n">
        <v>246</v>
      </c>
      <c r="N20" s="2" t="n">
        <v>888</v>
      </c>
      <c r="O20" s="2" t="n">
        <v>1773</v>
      </c>
      <c r="Q20" s="2" t="n">
        <f aca="false">F20+G20+H20</f>
        <v>987</v>
      </c>
      <c r="U20" s="2" t="str">
        <f aca="false">A224</f>
        <v>Interior-South-Okanagan-Simil-Penticton</v>
      </c>
      <c r="V20" s="2" t="s">
        <v>21</v>
      </c>
      <c r="W20" s="2" t="n">
        <f aca="false">SUMIF($A$3:$A$522,$U20,Q$3:Q$522)</f>
        <v>16379</v>
      </c>
      <c r="X20" s="2" t="n">
        <f aca="false">SUMIF($A$3:$A$522,$U20,I$3:I$522)</f>
        <v>5370</v>
      </c>
      <c r="Y20" s="2" t="n">
        <f aca="false">SUMIF($A$3:$A$522,$U20,J$3:J$522)</f>
        <v>4386</v>
      </c>
      <c r="Z20" s="2" t="n">
        <f aca="false">SUMIF($A$3:$A$522,$U20,K$3:K$522)</f>
        <v>9391</v>
      </c>
      <c r="AA20" s="2" t="n">
        <f aca="false">SUMIF($A$3:$A$522,$U20,L$3:L$522)</f>
        <v>0</v>
      </c>
      <c r="AB20" s="2" t="n">
        <f aca="false">SUMIF($A$3:$A$522,$U20,M$3:M$522)</f>
        <v>3431</v>
      </c>
      <c r="AC20" s="2" t="n">
        <f aca="false">SUM(X20:AB20)</f>
        <v>22578</v>
      </c>
      <c r="AD20" s="2" t="n">
        <f aca="false">SUMIF($A$3:$A$522,$U20,F$3:F$522)</f>
        <v>9085</v>
      </c>
      <c r="AE20" s="2" t="n">
        <f aca="false">SUMIF($A$3:$A$522,$U20,G$3:G$522)</f>
        <v>3343</v>
      </c>
      <c r="AF20" s="2" t="n">
        <f aca="false">SUMIF($A$3:$A$522,$U20,H$3:H$522)</f>
        <v>3951</v>
      </c>
      <c r="AG20" s="2" t="n">
        <f aca="false">SUMIF($A$3:$A$522,$U20,N$3:N$522)</f>
        <v>3019</v>
      </c>
      <c r="AI20" s="2" t="n">
        <f aca="false">SUMIF($A$525:$A$901,$U20,Q$525:Q$901)</f>
        <v>12065</v>
      </c>
      <c r="AJ20" s="40" t="n">
        <f aca="false">AI20*13/9</f>
        <v>17427.2222222222</v>
      </c>
      <c r="AK20" s="16" t="n">
        <f aca="false">AJ20/W20</f>
        <v>1.0639979377387</v>
      </c>
    </row>
    <row r="21" customFormat="false" ht="12.8" hidden="false" customHeight="false" outlineLevel="0" collapsed="false">
      <c r="A21" s="2" t="s">
        <v>225</v>
      </c>
      <c r="B21" s="2" t="s">
        <v>211</v>
      </c>
      <c r="C21" s="2" t="s">
        <v>217</v>
      </c>
      <c r="D21" s="2" t="n">
        <v>844</v>
      </c>
      <c r="E21" s="2" t="n">
        <v>0</v>
      </c>
      <c r="F21" s="2" t="n">
        <v>0</v>
      </c>
      <c r="G21" s="2" t="n">
        <v>667</v>
      </c>
      <c r="H21" s="2" t="n">
        <v>177</v>
      </c>
      <c r="I21" s="2" t="n">
        <v>346</v>
      </c>
      <c r="J21" s="2" t="n">
        <v>0</v>
      </c>
      <c r="K21" s="2" t="n">
        <v>740</v>
      </c>
      <c r="L21" s="2" t="n">
        <v>0</v>
      </c>
      <c r="M21" s="2" t="n">
        <v>197</v>
      </c>
      <c r="N21" s="2" t="n">
        <v>788</v>
      </c>
      <c r="O21" s="2" t="n">
        <v>1283</v>
      </c>
      <c r="Q21" s="2" t="n">
        <f aca="false">F21+G21+H21</f>
        <v>844</v>
      </c>
      <c r="U21" s="2" t="str">
        <f aca="false">A237</f>
        <v>Interior-Thompson-Kamloops-North-S</v>
      </c>
      <c r="V21" s="2" t="s">
        <v>25</v>
      </c>
      <c r="W21" s="2" t="n">
        <f aca="false">SUMIF($A$3:$A$522,$U21,Q$3:Q$522)</f>
        <v>6235</v>
      </c>
      <c r="X21" s="2" t="n">
        <f aca="false">SUMIF($A$3:$A$522,$U21,I$3:I$522)</f>
        <v>1655</v>
      </c>
      <c r="Y21" s="2" t="n">
        <f aca="false">SUMIF($A$3:$A$522,$U21,J$3:J$522)</f>
        <v>794</v>
      </c>
      <c r="Z21" s="2" t="n">
        <f aca="false">SUMIF($A$3:$A$522,$U21,K$3:K$522)</f>
        <v>6132</v>
      </c>
      <c r="AA21" s="2" t="n">
        <f aca="false">SUMIF($A$3:$A$522,$U21,L$3:L$522)</f>
        <v>341</v>
      </c>
      <c r="AB21" s="2" t="n">
        <f aca="false">SUMIF($A$3:$A$522,$U21,M$3:M$522)</f>
        <v>247</v>
      </c>
      <c r="AC21" s="2" t="n">
        <f aca="false">SUM(X21:AB21)</f>
        <v>9169</v>
      </c>
      <c r="AD21" s="2" t="n">
        <f aca="false">SUMIF($A$3:$A$522,$U21,F$3:F$522)</f>
        <v>0</v>
      </c>
      <c r="AE21" s="2" t="n">
        <f aca="false">SUMIF($A$3:$A$522,$U21,G$3:G$522)</f>
        <v>2165</v>
      </c>
      <c r="AF21" s="2" t="n">
        <f aca="false">SUMIF($A$3:$A$522,$U21,H$3:H$522)</f>
        <v>4070</v>
      </c>
      <c r="AG21" s="2" t="n">
        <f aca="false">SUMIF($A$3:$A$522,$U21,N$3:N$522)</f>
        <v>1319</v>
      </c>
      <c r="AI21" s="2" t="n">
        <f aca="false">SUMIF($A$525:$A$901,$U21,Q$525:Q$901)</f>
        <v>13268</v>
      </c>
      <c r="AJ21" s="40" t="n">
        <f aca="false">AI21*13/9</f>
        <v>19164.8888888889</v>
      </c>
      <c r="AK21" s="16" t="n">
        <f aca="false">AJ21/W21</f>
        <v>3.0737592444088</v>
      </c>
    </row>
    <row r="22" customFormat="false" ht="12.8" hidden="false" customHeight="false" outlineLevel="0" collapsed="false">
      <c r="A22" s="2" t="s">
        <v>225</v>
      </c>
      <c r="B22" s="2" t="s">
        <v>211</v>
      </c>
      <c r="C22" s="2" t="s">
        <v>218</v>
      </c>
      <c r="D22" s="2" t="n">
        <v>842</v>
      </c>
      <c r="E22" s="2" t="n">
        <v>0</v>
      </c>
      <c r="F22" s="2" t="n">
        <v>0</v>
      </c>
      <c r="G22" s="2" t="n">
        <v>669</v>
      </c>
      <c r="H22" s="2" t="n">
        <v>173</v>
      </c>
      <c r="I22" s="2" t="n">
        <v>368</v>
      </c>
      <c r="J22" s="2" t="n">
        <v>0</v>
      </c>
      <c r="K22" s="2" t="n">
        <v>800</v>
      </c>
      <c r="L22" s="2" t="n">
        <v>0</v>
      </c>
      <c r="M22" s="2" t="n">
        <v>156</v>
      </c>
      <c r="N22" s="2" t="n">
        <v>625</v>
      </c>
      <c r="O22" s="2" t="n">
        <v>1324</v>
      </c>
      <c r="Q22" s="2" t="n">
        <f aca="false">F22+G22+H22</f>
        <v>842</v>
      </c>
      <c r="U22" s="2" t="str">
        <f aca="false">A250</f>
        <v>Interior-Thompson-Kamloops-South</v>
      </c>
      <c r="V22" s="2" t="s">
        <v>16</v>
      </c>
      <c r="W22" s="2" t="n">
        <f aca="false">SUMIF($A$3:$A$522,$U22,Q$3:Q$522)</f>
        <v>41555</v>
      </c>
      <c r="X22" s="2" t="n">
        <f aca="false">SUMIF($A$3:$A$522,$U22,I$3:I$522)</f>
        <v>24462</v>
      </c>
      <c r="Y22" s="2" t="n">
        <f aca="false">SUMIF($A$3:$A$522,$U22,J$3:J$522)</f>
        <v>523</v>
      </c>
      <c r="Z22" s="2" t="n">
        <f aca="false">SUMIF($A$3:$A$522,$U22,K$3:K$522)</f>
        <v>16973</v>
      </c>
      <c r="AA22" s="2" t="n">
        <f aca="false">SUMIF($A$3:$A$522,$U22,L$3:L$522)</f>
        <v>1629</v>
      </c>
      <c r="AB22" s="2" t="n">
        <f aca="false">SUMIF($A$3:$A$522,$U22,M$3:M$522)</f>
        <v>3825</v>
      </c>
      <c r="AC22" s="2" t="n">
        <f aca="false">SUM(X22:AB22)</f>
        <v>47412</v>
      </c>
      <c r="AD22" s="2" t="n">
        <f aca="false">SUMIF($A$3:$A$522,$U22,F$3:F$522)</f>
        <v>6561</v>
      </c>
      <c r="AE22" s="2" t="n">
        <f aca="false">SUMIF($A$3:$A$522,$U22,G$3:G$522)</f>
        <v>9550</v>
      </c>
      <c r="AF22" s="2" t="n">
        <f aca="false">SUMIF($A$3:$A$522,$U22,H$3:H$522)</f>
        <v>25444</v>
      </c>
      <c r="AG22" s="2" t="n">
        <f aca="false">SUMIF($A$3:$A$522,$U22,N$3:N$522)</f>
        <v>11286</v>
      </c>
      <c r="AI22" s="2" t="n">
        <f aca="false">SUMIF($A$525:$A$901,$U22,Q$525:Q$901)</f>
        <v>27672</v>
      </c>
      <c r="AJ22" s="40" t="n">
        <f aca="false">AI22*13/9</f>
        <v>39970.6666666667</v>
      </c>
      <c r="AK22" s="16" t="n">
        <f aca="false">AJ22/W22</f>
        <v>0.961873821842538</v>
      </c>
    </row>
    <row r="23" customFormat="false" ht="12.8" hidden="false" customHeight="false" outlineLevel="0" collapsed="false">
      <c r="A23" s="2" t="s">
        <v>225</v>
      </c>
      <c r="B23" s="2" t="s">
        <v>211</v>
      </c>
      <c r="C23" s="2" t="s">
        <v>219</v>
      </c>
      <c r="D23" s="2" t="n">
        <v>748</v>
      </c>
      <c r="E23" s="2" t="n">
        <v>0</v>
      </c>
      <c r="F23" s="2" t="n">
        <v>0</v>
      </c>
      <c r="G23" s="2" t="n">
        <v>620</v>
      </c>
      <c r="H23" s="2" t="n">
        <v>128</v>
      </c>
      <c r="I23" s="2" t="n">
        <v>290</v>
      </c>
      <c r="J23" s="2" t="n">
        <v>0</v>
      </c>
      <c r="K23" s="2" t="n">
        <v>722</v>
      </c>
      <c r="L23" s="2" t="n">
        <v>0</v>
      </c>
      <c r="M23" s="2" t="n">
        <v>101</v>
      </c>
      <c r="N23" s="2" t="n">
        <v>526</v>
      </c>
      <c r="O23" s="2" t="n">
        <v>1113</v>
      </c>
      <c r="Q23" s="2" t="n">
        <f aca="false">F23+G23+H23</f>
        <v>748</v>
      </c>
      <c r="U23" s="2" t="str">
        <f aca="false">A263</f>
        <v>Northern-Northern-Interior-Rura-Quesnel</v>
      </c>
      <c r="V23" s="2" t="s">
        <v>27</v>
      </c>
      <c r="W23" s="2" t="n">
        <f aca="false">SUMIF($A$3:$A$522,$U23,Q$3:Q$522)</f>
        <v>6099</v>
      </c>
      <c r="X23" s="2" t="n">
        <f aca="false">SUMIF($A$3:$A$522,$U23,I$3:I$522)</f>
        <v>4650</v>
      </c>
      <c r="Y23" s="2" t="n">
        <f aca="false">SUMIF($A$3:$A$522,$U23,J$3:J$522)</f>
        <v>722</v>
      </c>
      <c r="Z23" s="2" t="n">
        <f aca="false">SUMIF($A$3:$A$522,$U23,K$3:K$522)</f>
        <v>67</v>
      </c>
      <c r="AA23" s="2" t="n">
        <f aca="false">SUMIF($A$3:$A$522,$U23,L$3:L$522)</f>
        <v>131</v>
      </c>
      <c r="AB23" s="2" t="n">
        <f aca="false">SUMIF($A$3:$A$522,$U23,M$3:M$522)</f>
        <v>624</v>
      </c>
      <c r="AC23" s="2" t="n">
        <f aca="false">SUM(X23:AB23)</f>
        <v>6194</v>
      </c>
      <c r="AD23" s="2" t="n">
        <f aca="false">SUMIF($A$3:$A$522,$U23,F$3:F$522)</f>
        <v>0</v>
      </c>
      <c r="AE23" s="2" t="n">
        <f aca="false">SUMIF($A$3:$A$522,$U23,G$3:G$522)</f>
        <v>2063</v>
      </c>
      <c r="AF23" s="2" t="n">
        <f aca="false">SUMIF($A$3:$A$522,$U23,H$3:H$522)</f>
        <v>4036</v>
      </c>
      <c r="AG23" s="2" t="n">
        <f aca="false">SUMIF($A$3:$A$522,$U23,N$3:N$522)</f>
        <v>2529</v>
      </c>
      <c r="AI23" s="2" t="n">
        <f aca="false">SUMIF($A$525:$A$901,$U23,Q$525:Q$901)</f>
        <v>4016</v>
      </c>
      <c r="AJ23" s="40" t="n">
        <f aca="false">AI23*13/9</f>
        <v>5800.88888888889</v>
      </c>
      <c r="AK23" s="16" t="n">
        <f aca="false">AJ23/W23</f>
        <v>0.951121313147875</v>
      </c>
    </row>
    <row r="24" customFormat="false" ht="12.8" hidden="false" customHeight="false" outlineLevel="0" collapsed="false">
      <c r="A24" s="2" t="s">
        <v>225</v>
      </c>
      <c r="B24" s="2" t="s">
        <v>211</v>
      </c>
      <c r="C24" s="2" t="s">
        <v>220</v>
      </c>
      <c r="D24" s="2" t="n">
        <v>759</v>
      </c>
      <c r="E24" s="2" t="n">
        <v>0</v>
      </c>
      <c r="F24" s="2" t="n">
        <v>0</v>
      </c>
      <c r="G24" s="2" t="n">
        <v>617</v>
      </c>
      <c r="H24" s="2" t="n">
        <v>142</v>
      </c>
      <c r="I24" s="2" t="n">
        <v>270</v>
      </c>
      <c r="J24" s="2" t="n">
        <v>0</v>
      </c>
      <c r="K24" s="2" t="n">
        <v>710</v>
      </c>
      <c r="L24" s="2" t="n">
        <v>0</v>
      </c>
      <c r="M24" s="2" t="n">
        <v>144</v>
      </c>
      <c r="N24" s="2" t="n">
        <v>548</v>
      </c>
      <c r="O24" s="2" t="n">
        <v>1124</v>
      </c>
      <c r="Q24" s="2" t="n">
        <f aca="false">F24+G24+H24</f>
        <v>759</v>
      </c>
      <c r="U24" s="2" t="str">
        <f aca="false">A276</f>
        <v>Northern-Prince-George-Prince-George</v>
      </c>
      <c r="V24" s="2" t="s">
        <v>28</v>
      </c>
      <c r="W24" s="2" t="n">
        <f aca="false">SUMIF($A$3:$A$522,$U24,Q$3:Q$522)</f>
        <v>26805</v>
      </c>
      <c r="X24" s="2" t="n">
        <f aca="false">SUMIF($A$3:$A$522,$U24,I$3:I$522)</f>
        <v>21986</v>
      </c>
      <c r="Y24" s="2" t="n">
        <f aca="false">SUMIF($A$3:$A$522,$U24,J$3:J$522)</f>
        <v>5</v>
      </c>
      <c r="Z24" s="2" t="n">
        <f aca="false">SUMIF($A$3:$A$522,$U24,K$3:K$522)</f>
        <v>8234</v>
      </c>
      <c r="AA24" s="2" t="n">
        <f aca="false">SUMIF($A$3:$A$522,$U24,L$3:L$522)</f>
        <v>0</v>
      </c>
      <c r="AB24" s="2" t="n">
        <f aca="false">SUMIF($A$3:$A$522,$U24,M$3:M$522)</f>
        <v>0</v>
      </c>
      <c r="AC24" s="2" t="n">
        <f aca="false">SUM(X24:AB24)</f>
        <v>30225</v>
      </c>
      <c r="AD24" s="2" t="n">
        <f aca="false">SUMIF($A$3:$A$522,$U24,F$3:F$522)</f>
        <v>0</v>
      </c>
      <c r="AE24" s="2" t="n">
        <f aca="false">SUMIF($A$3:$A$522,$U24,G$3:G$522)</f>
        <v>2754</v>
      </c>
      <c r="AF24" s="2" t="n">
        <f aca="false">SUMIF($A$3:$A$522,$U24,H$3:H$522)</f>
        <v>24051</v>
      </c>
      <c r="AG24" s="2" t="n">
        <f aca="false">SUMIF($A$3:$A$522,$U24,N$3:N$522)</f>
        <v>2254</v>
      </c>
      <c r="AI24" s="2" t="n">
        <f aca="false">SUMIF($A$525:$A$901,$U24,Q$525:Q$901)</f>
        <v>22203</v>
      </c>
      <c r="AJ24" s="40" t="n">
        <f aca="false">AI24*13/9</f>
        <v>32071</v>
      </c>
      <c r="AK24" s="16" t="n">
        <f aca="false">AJ24/W24</f>
        <v>1.19645588509606</v>
      </c>
    </row>
    <row r="25" customFormat="false" ht="12.8" hidden="false" customHeight="false" outlineLevel="0" collapsed="false">
      <c r="A25" s="2" t="s">
        <v>225</v>
      </c>
      <c r="B25" s="2" t="s">
        <v>211</v>
      </c>
      <c r="C25" s="2" t="s">
        <v>221</v>
      </c>
      <c r="D25" s="2" t="n">
        <v>682</v>
      </c>
      <c r="E25" s="2" t="n">
        <v>0</v>
      </c>
      <c r="F25" s="2" t="n">
        <v>0</v>
      </c>
      <c r="G25" s="2" t="n">
        <v>536</v>
      </c>
      <c r="H25" s="2" t="n">
        <v>146</v>
      </c>
      <c r="I25" s="2" t="n">
        <v>320</v>
      </c>
      <c r="J25" s="2" t="n">
        <v>0</v>
      </c>
      <c r="K25" s="2" t="n">
        <v>715</v>
      </c>
      <c r="L25" s="2" t="n">
        <v>0</v>
      </c>
      <c r="M25" s="2" t="n">
        <v>126</v>
      </c>
      <c r="N25" s="2" t="n">
        <v>529</v>
      </c>
      <c r="O25" s="2" t="n">
        <v>1161</v>
      </c>
      <c r="Q25" s="2" t="n">
        <f aca="false">F25+G25+H25</f>
        <v>682</v>
      </c>
      <c r="U25" s="2" t="str">
        <f aca="false">A289</f>
        <v>Vancouver-Coastal-North-Shore-North-Vancouver</v>
      </c>
      <c r="V25" s="2" t="s">
        <v>30</v>
      </c>
      <c r="W25" s="2" t="n">
        <f aca="false">SUMIF($A$3:$A$522,$U25,Q$3:Q$522)</f>
        <v>24438</v>
      </c>
      <c r="X25" s="2" t="n">
        <f aca="false">SUMIF($A$3:$A$522,$U25,I$3:I$522)</f>
        <v>13189</v>
      </c>
      <c r="Y25" s="2" t="n">
        <f aca="false">SUMIF($A$3:$A$522,$U25,J$3:J$522)</f>
        <v>10183</v>
      </c>
      <c r="Z25" s="2" t="n">
        <f aca="false">SUMIF($A$3:$A$522,$U25,K$3:K$522)</f>
        <v>36820</v>
      </c>
      <c r="AA25" s="2" t="n">
        <f aca="false">SUMIF($A$3:$A$522,$U25,L$3:L$522)</f>
        <v>0</v>
      </c>
      <c r="AB25" s="2" t="n">
        <f aca="false">SUMIF($A$3:$A$522,$U25,M$3:M$522)</f>
        <v>486</v>
      </c>
      <c r="AC25" s="2" t="n">
        <f aca="false">SUM(X25:AB25)</f>
        <v>60678</v>
      </c>
      <c r="AD25" s="2" t="n">
        <f aca="false">SUMIF($A$3:$A$522,$U25,F$3:F$522)</f>
        <v>0</v>
      </c>
      <c r="AE25" s="2" t="n">
        <f aca="false">SUMIF($A$3:$A$522,$U25,G$3:G$522)</f>
        <v>19730</v>
      </c>
      <c r="AF25" s="2" t="n">
        <f aca="false">SUMIF($A$3:$A$522,$U25,H$3:H$522)</f>
        <v>4708</v>
      </c>
      <c r="AG25" s="2" t="n">
        <f aca="false">SUMIF($A$3:$A$522,$U25,N$3:N$522)</f>
        <v>1517</v>
      </c>
      <c r="AI25" s="2" t="n">
        <f aca="false">SUMIF($A$525:$A$901,$U25,Q$525:Q$901)</f>
        <v>15281</v>
      </c>
      <c r="AJ25" s="40" t="n">
        <f aca="false">AI25*13/9</f>
        <v>22072.5555555556</v>
      </c>
      <c r="AK25" s="16" t="n">
        <f aca="false">AJ25/W25</f>
        <v>0.903206299842686</v>
      </c>
    </row>
    <row r="26" customFormat="false" ht="12.8" hidden="false" customHeight="false" outlineLevel="0" collapsed="false">
      <c r="A26" s="2" t="s">
        <v>225</v>
      </c>
      <c r="B26" s="2" t="s">
        <v>211</v>
      </c>
      <c r="C26" s="2" t="s">
        <v>222</v>
      </c>
      <c r="D26" s="2" t="n">
        <v>927</v>
      </c>
      <c r="E26" s="2" t="n">
        <v>0</v>
      </c>
      <c r="F26" s="2" t="n">
        <v>0</v>
      </c>
      <c r="G26" s="2" t="n">
        <v>707</v>
      </c>
      <c r="H26" s="2" t="n">
        <v>220</v>
      </c>
      <c r="I26" s="2" t="n">
        <v>509</v>
      </c>
      <c r="J26" s="2" t="n">
        <v>0</v>
      </c>
      <c r="K26" s="2" t="n">
        <v>1091</v>
      </c>
      <c r="L26" s="2" t="n">
        <v>0</v>
      </c>
      <c r="M26" s="2" t="n">
        <v>118</v>
      </c>
      <c r="N26" s="2" t="n">
        <v>693</v>
      </c>
      <c r="O26" s="2" t="n">
        <v>1718</v>
      </c>
      <c r="Q26" s="2" t="n">
        <f aca="false">F26+G26+H26</f>
        <v>927</v>
      </c>
      <c r="U26" s="2" t="str">
        <f aca="false">A302</f>
        <v>Vancouver-Coastal-Richmond-Richmond-City-Ce</v>
      </c>
      <c r="V26" s="2" t="s">
        <v>33</v>
      </c>
      <c r="W26" s="2" t="n">
        <f aca="false">SUMIF($A$3:$A$522,$U26,Q$3:Q$522)</f>
        <v>35397</v>
      </c>
      <c r="X26" s="2" t="n">
        <f aca="false">SUMIF($A$3:$A$522,$U26,I$3:I$522)</f>
        <v>22017</v>
      </c>
      <c r="Y26" s="2" t="n">
        <f aca="false">SUMIF($A$3:$A$522,$U26,J$3:J$522)</f>
        <v>11563</v>
      </c>
      <c r="Z26" s="2" t="n">
        <f aca="false">SUMIF($A$3:$A$522,$U26,K$3:K$522)</f>
        <v>76048</v>
      </c>
      <c r="AA26" s="2" t="n">
        <f aca="false">SUMIF($A$3:$A$522,$U26,L$3:L$522)</f>
        <v>0</v>
      </c>
      <c r="AB26" s="2" t="n">
        <f aca="false">SUMIF($A$3:$A$522,$U26,M$3:M$522)</f>
        <v>2630</v>
      </c>
      <c r="AC26" s="2" t="n">
        <f aca="false">SUM(X26:AB26)</f>
        <v>112258</v>
      </c>
      <c r="AD26" s="2" t="n">
        <f aca="false">SUMIF($A$3:$A$522,$U26,F$3:F$522)</f>
        <v>0</v>
      </c>
      <c r="AE26" s="2" t="n">
        <f aca="false">SUMIF($A$3:$A$522,$U26,G$3:G$522)</f>
        <v>25906</v>
      </c>
      <c r="AF26" s="2" t="n">
        <f aca="false">SUMIF($A$3:$A$522,$U26,H$3:H$522)</f>
        <v>9491</v>
      </c>
      <c r="AG26" s="2" t="n">
        <f aca="false">SUMIF($A$3:$A$522,$U26,N$3:N$522)</f>
        <v>1383</v>
      </c>
      <c r="AI26" s="2" t="n">
        <f aca="false">SUMIF($A$525:$A$901,$U26,Q$525:Q$901)</f>
        <v>25721</v>
      </c>
      <c r="AJ26" s="40" t="n">
        <f aca="false">AI26*13/9</f>
        <v>37152.5555555556</v>
      </c>
      <c r="AK26" s="16" t="n">
        <f aca="false">AJ26/W26</f>
        <v>1.04959616791128</v>
      </c>
    </row>
    <row r="27" customFormat="false" ht="12.8" hidden="false" customHeight="false" outlineLevel="0" collapsed="false">
      <c r="A27" s="2" t="s">
        <v>225</v>
      </c>
      <c r="B27" s="2" t="s">
        <v>211</v>
      </c>
      <c r="C27" s="2" t="s">
        <v>223</v>
      </c>
      <c r="D27" s="2" t="n">
        <v>914</v>
      </c>
      <c r="E27" s="2" t="n">
        <v>0</v>
      </c>
      <c r="F27" s="2" t="n">
        <v>0</v>
      </c>
      <c r="G27" s="2" t="n">
        <v>691</v>
      </c>
      <c r="H27" s="2" t="n">
        <v>223</v>
      </c>
      <c r="I27" s="2" t="n">
        <v>519</v>
      </c>
      <c r="J27" s="2" t="n">
        <v>0</v>
      </c>
      <c r="K27" s="2" t="n">
        <v>1022</v>
      </c>
      <c r="L27" s="2" t="n">
        <v>0</v>
      </c>
      <c r="M27" s="2" t="n">
        <v>135</v>
      </c>
      <c r="N27" s="2" t="n">
        <v>695</v>
      </c>
      <c r="O27" s="2" t="n">
        <v>1676</v>
      </c>
      <c r="Q27" s="2" t="n">
        <f aca="false">F27+G27+H27</f>
        <v>914</v>
      </c>
      <c r="U27" s="2" t="str">
        <f aca="false">A315</f>
        <v>Vancouver-Coastal-Richmond-Richmond-East</v>
      </c>
      <c r="V27" s="2" t="s">
        <v>35</v>
      </c>
      <c r="W27" s="2" t="n">
        <f aca="false">SUMIF($A$3:$A$522,$U27,Q$3:Q$522)</f>
        <v>18443</v>
      </c>
      <c r="X27" s="2" t="n">
        <f aca="false">SUMIF($A$3:$A$522,$U27,I$3:I$522)</f>
        <v>12000</v>
      </c>
      <c r="Y27" s="2" t="n">
        <f aca="false">SUMIF($A$3:$A$522,$U27,J$3:J$522)</f>
        <v>5829</v>
      </c>
      <c r="Z27" s="2" t="n">
        <f aca="false">SUMIF($A$3:$A$522,$U27,K$3:K$522)</f>
        <v>35197</v>
      </c>
      <c r="AA27" s="2" t="n">
        <f aca="false">SUMIF($A$3:$A$522,$U27,L$3:L$522)</f>
        <v>0</v>
      </c>
      <c r="AB27" s="2" t="n">
        <f aca="false">SUMIF($A$3:$A$522,$U27,M$3:M$522)</f>
        <v>993</v>
      </c>
      <c r="AC27" s="2" t="n">
        <f aca="false">SUM(X27:AB27)</f>
        <v>54019</v>
      </c>
      <c r="AD27" s="2" t="n">
        <f aca="false">SUMIF($A$3:$A$522,$U27,F$3:F$522)</f>
        <v>1190</v>
      </c>
      <c r="AE27" s="2" t="n">
        <f aca="false">SUMIF($A$3:$A$522,$U27,G$3:G$522)</f>
        <v>13685</v>
      </c>
      <c r="AF27" s="2" t="n">
        <f aca="false">SUMIF($A$3:$A$522,$U27,H$3:H$522)</f>
        <v>3568</v>
      </c>
      <c r="AG27" s="2" t="n">
        <f aca="false">SUMIF($A$3:$A$522,$U27,N$3:N$522)</f>
        <v>1708</v>
      </c>
      <c r="AI27" s="2" t="n">
        <f aca="false">SUMIF($A$525:$A$901,$U27,Q$525:Q$901)</f>
        <v>18093</v>
      </c>
      <c r="AJ27" s="40" t="n">
        <f aca="false">AI27*13/9</f>
        <v>26134.3333333333</v>
      </c>
      <c r="AK27" s="16" t="n">
        <f aca="false">AJ27/W27</f>
        <v>1.41703265918415</v>
      </c>
    </row>
    <row r="28" customFormat="false" ht="12.8" hidden="false" customHeight="false" outlineLevel="0" collapsed="false">
      <c r="A28" s="2" t="s">
        <v>225</v>
      </c>
      <c r="B28" s="2" t="s">
        <v>211</v>
      </c>
      <c r="C28" s="2" t="s">
        <v>224</v>
      </c>
      <c r="D28" s="2" t="n">
        <v>918</v>
      </c>
      <c r="E28" s="2" t="n">
        <v>0</v>
      </c>
      <c r="F28" s="2" t="n">
        <v>0</v>
      </c>
      <c r="G28" s="2" t="n">
        <v>663</v>
      </c>
      <c r="H28" s="2" t="n">
        <v>255</v>
      </c>
      <c r="I28" s="2" t="n">
        <v>551</v>
      </c>
      <c r="J28" s="2" t="n">
        <v>0</v>
      </c>
      <c r="K28" s="2" t="n">
        <v>1052</v>
      </c>
      <c r="L28" s="2" t="n">
        <v>0</v>
      </c>
      <c r="M28" s="2" t="n">
        <v>135</v>
      </c>
      <c r="N28" s="2" t="n">
        <v>749</v>
      </c>
      <c r="O28" s="2" t="n">
        <v>1738</v>
      </c>
      <c r="Q28" s="2" t="n">
        <f aca="false">F28+G28+H28</f>
        <v>918</v>
      </c>
      <c r="U28" s="2" t="str">
        <f aca="false">A328</f>
        <v>Vancouver-Coastal-Vancouver-Northeast</v>
      </c>
      <c r="V28" s="2" t="s">
        <v>32</v>
      </c>
      <c r="W28" s="2" t="n">
        <f aca="false">SUMIF($A$3:$A$522,$U28,Q$3:Q$522)</f>
        <v>24310</v>
      </c>
      <c r="X28" s="2" t="n">
        <f aca="false">SUMIF($A$3:$A$522,$U28,I$3:I$522)</f>
        <v>14563</v>
      </c>
      <c r="Y28" s="2" t="n">
        <f aca="false">SUMIF($A$3:$A$522,$U28,J$3:J$522)</f>
        <v>9401</v>
      </c>
      <c r="Z28" s="2" t="n">
        <f aca="false">SUMIF($A$3:$A$522,$U28,K$3:K$522)</f>
        <v>43325</v>
      </c>
      <c r="AA28" s="2" t="n">
        <f aca="false">SUMIF($A$3:$A$522,$U28,L$3:L$522)</f>
        <v>0</v>
      </c>
      <c r="AB28" s="2" t="n">
        <f aca="false">SUMIF($A$3:$A$522,$U28,M$3:M$522)</f>
        <v>1747</v>
      </c>
      <c r="AC28" s="2" t="n">
        <f aca="false">SUM(X28:AB28)</f>
        <v>69036</v>
      </c>
      <c r="AD28" s="2" t="n">
        <f aca="false">SUMIF($A$3:$A$522,$U28,F$3:F$522)</f>
        <v>0</v>
      </c>
      <c r="AE28" s="2" t="n">
        <f aca="false">SUMIF($A$3:$A$522,$U28,G$3:G$522)</f>
        <v>15281</v>
      </c>
      <c r="AF28" s="2" t="n">
        <f aca="false">SUMIF($A$3:$A$522,$U28,H$3:H$522)</f>
        <v>9029</v>
      </c>
      <c r="AG28" s="2" t="n">
        <f aca="false">SUMIF($A$3:$A$522,$U28,N$3:N$522)</f>
        <v>2667</v>
      </c>
      <c r="AI28" s="2" t="n">
        <f aca="false">SUMIF($A$525:$A$901,$U28,Q$525:Q$901)</f>
        <v>16934</v>
      </c>
      <c r="AJ28" s="40" t="n">
        <f aca="false">AI28*13/9</f>
        <v>24460.2222222222</v>
      </c>
      <c r="AK28" s="16" t="n">
        <f aca="false">AJ28/W28</f>
        <v>1.00617944147356</v>
      </c>
    </row>
    <row r="29" customFormat="false" ht="12.8" hidden="false" customHeight="false" outlineLevel="0" collapsed="false">
      <c r="A29" s="2" t="s">
        <v>226</v>
      </c>
      <c r="B29" s="2" t="s">
        <v>211</v>
      </c>
      <c r="C29" s="2" t="s">
        <v>212</v>
      </c>
      <c r="D29" s="2" t="n">
        <v>2530</v>
      </c>
      <c r="E29" s="2" t="n">
        <v>126</v>
      </c>
      <c r="F29" s="2" t="n">
        <v>298</v>
      </c>
      <c r="G29" s="2" t="n">
        <v>809</v>
      </c>
      <c r="H29" s="2" t="n">
        <v>1957</v>
      </c>
      <c r="I29" s="2" t="n">
        <v>1201</v>
      </c>
      <c r="J29" s="2" t="n">
        <v>658</v>
      </c>
      <c r="K29" s="2" t="n">
        <v>2270</v>
      </c>
      <c r="L29" s="2" t="n">
        <v>263</v>
      </c>
      <c r="M29" s="2" t="n">
        <v>145</v>
      </c>
      <c r="N29" s="2" t="n">
        <v>1012</v>
      </c>
      <c r="O29" s="2" t="n">
        <v>1453</v>
      </c>
      <c r="Q29" s="2" t="n">
        <f aca="false">F29+G29+H29</f>
        <v>3064</v>
      </c>
      <c r="U29" s="2" t="str">
        <f aca="false">A341</f>
        <v>Vancouver-Coastal-Vancouver-REACH</v>
      </c>
      <c r="V29" s="2" t="s">
        <v>31</v>
      </c>
      <c r="W29" s="2" t="n">
        <f aca="false">SUMIF($A$3:$A$522,$U29,Q$3:Q$522)</f>
        <v>22067</v>
      </c>
      <c r="X29" s="2" t="n">
        <f aca="false">SUMIF($A$3:$A$522,$U29,I$3:I$522)</f>
        <v>12688</v>
      </c>
      <c r="Y29" s="2" t="n">
        <f aca="false">SUMIF($A$3:$A$522,$U29,J$3:J$522)</f>
        <v>6197</v>
      </c>
      <c r="Z29" s="2" t="n">
        <f aca="false">SUMIF($A$3:$A$522,$U29,K$3:K$522)</f>
        <v>20040</v>
      </c>
      <c r="AA29" s="2" t="n">
        <f aca="false">SUMIF($A$3:$A$522,$U29,L$3:L$522)</f>
        <v>12494</v>
      </c>
      <c r="AB29" s="2" t="n">
        <f aca="false">SUMIF($A$3:$A$522,$U29,M$3:M$522)</f>
        <v>2373</v>
      </c>
      <c r="AC29" s="2" t="n">
        <f aca="false">SUM(X29:AB29)</f>
        <v>53792</v>
      </c>
      <c r="AD29" s="2" t="n">
        <f aca="false">SUMIF($A$3:$A$522,$U29,F$3:F$522)</f>
        <v>0</v>
      </c>
      <c r="AE29" s="2" t="n">
        <f aca="false">SUMIF($A$3:$A$522,$U29,G$3:G$522)</f>
        <v>4393</v>
      </c>
      <c r="AF29" s="2" t="n">
        <f aca="false">SUMIF($A$3:$A$522,$U29,H$3:H$522)</f>
        <v>17674</v>
      </c>
      <c r="AG29" s="2" t="n">
        <f aca="false">SUMIF($A$3:$A$522,$U29,N$3:N$522)</f>
        <v>1577</v>
      </c>
      <c r="AI29" s="2" t="n">
        <f aca="false">SUMIF($A$525:$A$901,$U29,Q$525:Q$901)</f>
        <v>14715</v>
      </c>
      <c r="AJ29" s="40" t="n">
        <f aca="false">AI29*13/9</f>
        <v>21255</v>
      </c>
      <c r="AK29" s="16" t="n">
        <f aca="false">AJ29/W29</f>
        <v>0.963202972764762</v>
      </c>
    </row>
    <row r="30" customFormat="false" ht="12.8" hidden="false" customHeight="false" outlineLevel="0" collapsed="false">
      <c r="A30" s="2" t="s">
        <v>226</v>
      </c>
      <c r="B30" s="2" t="s">
        <v>211</v>
      </c>
      <c r="C30" s="2" t="s">
        <v>213</v>
      </c>
      <c r="D30" s="2" t="n">
        <v>2427</v>
      </c>
      <c r="E30" s="2" t="n">
        <v>152</v>
      </c>
      <c r="F30" s="2" t="n">
        <v>315</v>
      </c>
      <c r="G30" s="2" t="n">
        <v>1235</v>
      </c>
      <c r="H30" s="2" t="n">
        <v>2619</v>
      </c>
      <c r="I30" s="2" t="n">
        <v>1520</v>
      </c>
      <c r="J30" s="2" t="n">
        <v>627</v>
      </c>
      <c r="K30" s="2" t="n">
        <v>3657</v>
      </c>
      <c r="L30" s="2" t="n">
        <v>334</v>
      </c>
      <c r="M30" s="2" t="n">
        <v>133</v>
      </c>
      <c r="N30" s="2" t="n">
        <v>2408</v>
      </c>
      <c r="O30" s="2" t="n">
        <v>2816</v>
      </c>
      <c r="Q30" s="2" t="n">
        <f aca="false">F30+G30+H30</f>
        <v>4169</v>
      </c>
      <c r="U30" s="2" t="str">
        <f aca="false">A354</f>
        <v>Vancouver-Coastal-Vancouver-Southeast</v>
      </c>
      <c r="V30" s="2" t="s">
        <v>34</v>
      </c>
      <c r="W30" s="2" t="n">
        <f aca="false">SUMIF($A$3:$A$522,$U30,Q$3:Q$522)</f>
        <v>24270</v>
      </c>
      <c r="X30" s="2" t="n">
        <f aca="false">SUMIF($A$3:$A$522,$U30,I$3:I$522)</f>
        <v>13332</v>
      </c>
      <c r="Y30" s="2" t="n">
        <f aca="false">SUMIF($A$3:$A$522,$U30,J$3:J$522)</f>
        <v>10151</v>
      </c>
      <c r="Z30" s="2" t="n">
        <f aca="false">SUMIF($A$3:$A$522,$U30,K$3:K$522)</f>
        <v>45328</v>
      </c>
      <c r="AA30" s="2" t="n">
        <f aca="false">SUMIF($A$3:$A$522,$U30,L$3:L$522)</f>
        <v>0</v>
      </c>
      <c r="AB30" s="2" t="n">
        <f aca="false">SUMIF($A$3:$A$522,$U30,M$3:M$522)</f>
        <v>580</v>
      </c>
      <c r="AC30" s="2" t="n">
        <f aca="false">SUM(X30:AB30)</f>
        <v>69391</v>
      </c>
      <c r="AD30" s="2" t="n">
        <f aca="false">SUMIF($A$3:$A$522,$U30,F$3:F$522)</f>
        <v>0</v>
      </c>
      <c r="AE30" s="2" t="n">
        <f aca="false">SUMIF($A$3:$A$522,$U30,G$3:G$522)</f>
        <v>16822</v>
      </c>
      <c r="AF30" s="2" t="n">
        <f aca="false">SUMIF($A$3:$A$522,$U30,H$3:H$522)</f>
        <v>7448</v>
      </c>
      <c r="AG30" s="2" t="n">
        <f aca="false">SUMIF($A$3:$A$522,$U30,N$3:N$522)</f>
        <v>2164</v>
      </c>
      <c r="AI30" s="2" t="n">
        <f aca="false">SUMIF($A$525:$A$901,$U30,Q$525:Q$901)</f>
        <v>16995</v>
      </c>
      <c r="AJ30" s="40" t="n">
        <f aca="false">AI30*13/9</f>
        <v>24548.3333333333</v>
      </c>
      <c r="AK30" s="16" t="n">
        <f aca="false">AJ30/W30</f>
        <v>1.01146820491691</v>
      </c>
    </row>
    <row r="31" customFormat="false" ht="12.8" hidden="false" customHeight="false" outlineLevel="0" collapsed="false">
      <c r="A31" s="2" t="s">
        <v>226</v>
      </c>
      <c r="B31" s="2" t="s">
        <v>211</v>
      </c>
      <c r="C31" s="2" t="s">
        <v>214</v>
      </c>
      <c r="D31" s="2" t="n">
        <v>2463</v>
      </c>
      <c r="E31" s="2" t="n">
        <v>172</v>
      </c>
      <c r="F31" s="2" t="n">
        <v>424</v>
      </c>
      <c r="G31" s="2" t="n">
        <v>1366</v>
      </c>
      <c r="H31" s="2" t="n">
        <v>2857</v>
      </c>
      <c r="I31" s="2" t="n">
        <v>1643</v>
      </c>
      <c r="J31" s="2" t="n">
        <v>752</v>
      </c>
      <c r="K31" s="2" t="n">
        <v>3848</v>
      </c>
      <c r="L31" s="2" t="n">
        <v>727</v>
      </c>
      <c r="M31" s="2" t="n">
        <v>152</v>
      </c>
      <c r="N31" s="2" t="n">
        <v>2659</v>
      </c>
      <c r="O31" s="2" t="n">
        <v>2791</v>
      </c>
      <c r="Q31" s="2" t="n">
        <f aca="false">F31+G31+H31</f>
        <v>4647</v>
      </c>
      <c r="U31" s="2" t="str">
        <f aca="false">A367</f>
        <v>Vancouver-Coastal-Vancouver-Vancouver-City-C</v>
      </c>
      <c r="V31" s="2" t="s">
        <v>29</v>
      </c>
      <c r="W31" s="2" t="n">
        <f aca="false">SUMIF($A$3:$A$522,$U31,Q$3:Q$522)</f>
        <v>25973</v>
      </c>
      <c r="X31" s="2" t="n">
        <f aca="false">SUMIF($A$3:$A$522,$U31,I$3:I$522)</f>
        <v>5679</v>
      </c>
      <c r="Y31" s="2" t="n">
        <f aca="false">SUMIF($A$3:$A$522,$U31,J$3:J$522)</f>
        <v>3522</v>
      </c>
      <c r="Z31" s="2" t="n">
        <f aca="false">SUMIF($A$3:$A$522,$U31,K$3:K$522)</f>
        <v>17815</v>
      </c>
      <c r="AA31" s="2" t="n">
        <f aca="false">SUMIF($A$3:$A$522,$U31,L$3:L$522)</f>
        <v>0</v>
      </c>
      <c r="AB31" s="2" t="n">
        <f aca="false">SUMIF($A$3:$A$522,$U31,M$3:M$522)</f>
        <v>0</v>
      </c>
      <c r="AC31" s="2" t="n">
        <f aca="false">SUM(X31:AB31)</f>
        <v>27016</v>
      </c>
      <c r="AD31" s="2" t="n">
        <f aca="false">SUMIF($A$3:$A$522,$U31,F$3:F$522)</f>
        <v>0</v>
      </c>
      <c r="AE31" s="2" t="n">
        <f aca="false">SUMIF($A$3:$A$522,$U31,G$3:G$522)</f>
        <v>11883</v>
      </c>
      <c r="AF31" s="2" t="n">
        <f aca="false">SUMIF($A$3:$A$522,$U31,H$3:H$522)</f>
        <v>14090</v>
      </c>
      <c r="AG31" s="2" t="n">
        <f aca="false">SUMIF($A$3:$A$522,$U31,N$3:N$522)</f>
        <v>502</v>
      </c>
      <c r="AI31" s="2" t="n">
        <f aca="false">SUMIF($A$525:$A$901,$U31,Q$525:Q$901)</f>
        <v>19582</v>
      </c>
      <c r="AJ31" s="40" t="n">
        <f aca="false">AI31*13/9</f>
        <v>28285.1111111111</v>
      </c>
      <c r="AK31" s="16" t="n">
        <f aca="false">AJ31/W31</f>
        <v>1.08901979405964</v>
      </c>
    </row>
    <row r="32" customFormat="false" ht="12.8" hidden="false" customHeight="false" outlineLevel="0" collapsed="false">
      <c r="A32" s="2" t="s">
        <v>226</v>
      </c>
      <c r="B32" s="2" t="s">
        <v>211</v>
      </c>
      <c r="C32" s="2" t="s">
        <v>215</v>
      </c>
      <c r="D32" s="2" t="n">
        <v>2665</v>
      </c>
      <c r="E32" s="2" t="n">
        <v>196</v>
      </c>
      <c r="F32" s="2" t="n">
        <v>332</v>
      </c>
      <c r="G32" s="2" t="n">
        <v>1309</v>
      </c>
      <c r="H32" s="2" t="n">
        <v>3251</v>
      </c>
      <c r="I32" s="2" t="n">
        <v>1536</v>
      </c>
      <c r="J32" s="2" t="n">
        <v>734</v>
      </c>
      <c r="K32" s="2" t="n">
        <v>4225</v>
      </c>
      <c r="L32" s="2" t="n">
        <v>546</v>
      </c>
      <c r="M32" s="2" t="n">
        <v>174</v>
      </c>
      <c r="N32" s="2" t="n">
        <v>2828</v>
      </c>
      <c r="O32" s="2" t="n">
        <v>2987</v>
      </c>
      <c r="Q32" s="2" t="n">
        <f aca="false">F32+G32+H32</f>
        <v>4892</v>
      </c>
      <c r="U32" s="2" t="str">
        <f aca="false">A380</f>
        <v>Vancouver-Island-Campbell-River-Campbell-River</v>
      </c>
      <c r="V32" s="2" t="s">
        <v>45</v>
      </c>
      <c r="W32" s="2" t="n">
        <f aca="false">SUMIF($A$3:$A$522,$U32,Q$3:Q$522)</f>
        <v>3680</v>
      </c>
      <c r="X32" s="2" t="n">
        <f aca="false">SUMIF($A$3:$A$522,$U32,I$3:I$522)</f>
        <v>1858</v>
      </c>
      <c r="Y32" s="2" t="n">
        <f aca="false">SUMIF($A$3:$A$522,$U32,J$3:J$522)</f>
        <v>639</v>
      </c>
      <c r="Z32" s="2" t="n">
        <f aca="false">SUMIF($A$3:$A$522,$U32,K$3:K$522)</f>
        <v>1703</v>
      </c>
      <c r="AA32" s="2" t="n">
        <f aca="false">SUMIF($A$3:$A$522,$U32,L$3:L$522)</f>
        <v>0</v>
      </c>
      <c r="AB32" s="2" t="n">
        <f aca="false">SUMIF($A$3:$A$522,$U32,M$3:M$522)</f>
        <v>29</v>
      </c>
      <c r="AC32" s="2" t="n">
        <f aca="false">SUM(X32:AB32)</f>
        <v>4229</v>
      </c>
      <c r="AD32" s="2" t="n">
        <f aca="false">SUMIF($A$3:$A$522,$U32,F$3:F$522)</f>
        <v>0</v>
      </c>
      <c r="AE32" s="2" t="n">
        <f aca="false">SUMIF($A$3:$A$522,$U32,G$3:G$522)</f>
        <v>628</v>
      </c>
      <c r="AF32" s="2" t="n">
        <f aca="false">SUMIF($A$3:$A$522,$U32,H$3:H$522)</f>
        <v>3052</v>
      </c>
      <c r="AG32" s="2" t="n">
        <f aca="false">SUMIF($A$3:$A$522,$U32,N$3:N$522)</f>
        <v>544</v>
      </c>
      <c r="AI32" s="2" t="n">
        <f aca="false">SUMIF($A$525:$A$901,$U32,Q$525:Q$901)</f>
        <v>4955</v>
      </c>
      <c r="AJ32" s="40" t="n">
        <f aca="false">AI32*13/9</f>
        <v>7157.22222222222</v>
      </c>
      <c r="AK32" s="16" t="n">
        <f aca="false">AJ32/W32</f>
        <v>1.94489734299517</v>
      </c>
    </row>
    <row r="33" customFormat="false" ht="12.8" hidden="false" customHeight="false" outlineLevel="0" collapsed="false">
      <c r="A33" s="2" t="s">
        <v>226</v>
      </c>
      <c r="B33" s="2" t="s">
        <v>211</v>
      </c>
      <c r="C33" s="2" t="s">
        <v>216</v>
      </c>
      <c r="D33" s="2" t="n">
        <v>2763</v>
      </c>
      <c r="E33" s="2" t="n">
        <v>184</v>
      </c>
      <c r="F33" s="2" t="n">
        <v>408</v>
      </c>
      <c r="G33" s="2" t="n">
        <v>1409</v>
      </c>
      <c r="H33" s="2" t="n">
        <v>3291</v>
      </c>
      <c r="I33" s="2" t="n">
        <v>1864</v>
      </c>
      <c r="J33" s="2" t="n">
        <v>569</v>
      </c>
      <c r="K33" s="2" t="n">
        <v>4485</v>
      </c>
      <c r="L33" s="2" t="n">
        <v>484</v>
      </c>
      <c r="M33" s="2" t="n">
        <v>96</v>
      </c>
      <c r="N33" s="2" t="n">
        <v>2853</v>
      </c>
      <c r="O33" s="2" t="n">
        <v>2983</v>
      </c>
      <c r="Q33" s="2" t="n">
        <f aca="false">F33+G33+H33</f>
        <v>5108</v>
      </c>
      <c r="U33" s="2" t="str">
        <f aca="false">A393</f>
        <v>Vancouver-Island-Comox-Valley-Comox</v>
      </c>
      <c r="V33" s="2" t="s">
        <v>43</v>
      </c>
      <c r="W33" s="2" t="n">
        <f aca="false">SUMIF($A$3:$A$522,$U33,Q$3:Q$522)</f>
        <v>14350</v>
      </c>
      <c r="X33" s="2" t="n">
        <f aca="false">SUMIF($A$3:$A$522,$U33,I$3:I$522)</f>
        <v>12075</v>
      </c>
      <c r="Y33" s="2" t="n">
        <f aca="false">SUMIF($A$3:$A$522,$U33,J$3:J$522)</f>
        <v>511</v>
      </c>
      <c r="Z33" s="2" t="n">
        <f aca="false">SUMIF($A$3:$A$522,$U33,K$3:K$522)</f>
        <v>6554</v>
      </c>
      <c r="AA33" s="2" t="n">
        <f aca="false">SUMIF($A$3:$A$522,$U33,L$3:L$522)</f>
        <v>0</v>
      </c>
      <c r="AB33" s="2" t="n">
        <f aca="false">SUMIF($A$3:$A$522,$U33,M$3:M$522)</f>
        <v>1363</v>
      </c>
      <c r="AC33" s="2" t="n">
        <f aca="false">SUM(X33:AB33)</f>
        <v>20503</v>
      </c>
      <c r="AD33" s="2" t="n">
        <f aca="false">SUMIF($A$3:$A$522,$U33,F$3:F$522)</f>
        <v>0</v>
      </c>
      <c r="AE33" s="2" t="n">
        <f aca="false">SUMIF($A$3:$A$522,$U33,G$3:G$522)</f>
        <v>7320</v>
      </c>
      <c r="AF33" s="2" t="n">
        <f aca="false">SUMIF($A$3:$A$522,$U33,H$3:H$522)</f>
        <v>7030</v>
      </c>
      <c r="AG33" s="2" t="n">
        <f aca="false">SUMIF($A$3:$A$522,$U33,N$3:N$522)</f>
        <v>2561</v>
      </c>
      <c r="AI33" s="2" t="n">
        <f aca="false">SUMIF($A$525:$A$901,$U33,Q$525:Q$901)</f>
        <v>10539</v>
      </c>
      <c r="AJ33" s="40" t="n">
        <f aca="false">AI33*13/9</f>
        <v>15223</v>
      </c>
      <c r="AK33" s="16" t="n">
        <f aca="false">AJ33/W33</f>
        <v>1.0608362369338</v>
      </c>
    </row>
    <row r="34" customFormat="false" ht="12.8" hidden="false" customHeight="false" outlineLevel="0" collapsed="false">
      <c r="A34" s="2" t="s">
        <v>226</v>
      </c>
      <c r="B34" s="2" t="s">
        <v>211</v>
      </c>
      <c r="C34" s="2" t="s">
        <v>217</v>
      </c>
      <c r="D34" s="2" t="n">
        <v>2344</v>
      </c>
      <c r="E34" s="2" t="n">
        <v>142</v>
      </c>
      <c r="F34" s="2" t="n">
        <v>329</v>
      </c>
      <c r="G34" s="2" t="n">
        <v>691</v>
      </c>
      <c r="H34" s="2" t="n">
        <v>2110</v>
      </c>
      <c r="I34" s="2" t="n">
        <v>1107</v>
      </c>
      <c r="J34" s="2" t="n">
        <v>691</v>
      </c>
      <c r="K34" s="2" t="n">
        <v>2433</v>
      </c>
      <c r="L34" s="2" t="n">
        <v>290</v>
      </c>
      <c r="M34" s="2" t="n">
        <v>92</v>
      </c>
      <c r="N34" s="2" t="n">
        <v>1066</v>
      </c>
      <c r="O34" s="2" t="n">
        <v>1471</v>
      </c>
      <c r="Q34" s="2" t="n">
        <f aca="false">F34+G34+H34</f>
        <v>3130</v>
      </c>
      <c r="U34" s="2" t="str">
        <f aca="false">A406</f>
        <v>Vancouver-Island-Nanaimo-Central-Nanaimo</v>
      </c>
      <c r="V34" s="2" t="s">
        <v>46</v>
      </c>
      <c r="W34" s="2" t="n">
        <f aca="false">SUMIF($A$3:$A$522,$U34,Q$3:Q$522)</f>
        <v>429</v>
      </c>
      <c r="X34" s="2" t="n">
        <f aca="false">SUMIF($A$3:$A$522,$U34,I$3:I$522)</f>
        <v>157</v>
      </c>
      <c r="Y34" s="2" t="n">
        <f aca="false">SUMIF($A$3:$A$522,$U34,J$3:J$522)</f>
        <v>0</v>
      </c>
      <c r="Z34" s="2" t="n">
        <f aca="false">SUMIF($A$3:$A$522,$U34,K$3:K$522)</f>
        <v>389</v>
      </c>
      <c r="AA34" s="2" t="n">
        <f aca="false">SUMIF($A$3:$A$522,$U34,L$3:L$522)</f>
        <v>0</v>
      </c>
      <c r="AB34" s="2" t="n">
        <f aca="false">SUMIF($A$3:$A$522,$U34,M$3:M$522)</f>
        <v>29</v>
      </c>
      <c r="AC34" s="2" t="n">
        <f aca="false">SUM(X34:AB34)</f>
        <v>575</v>
      </c>
      <c r="AD34" s="2" t="n">
        <f aca="false">SUMIF($A$3:$A$522,$U34,F$3:F$522)</f>
        <v>0</v>
      </c>
      <c r="AE34" s="2" t="n">
        <f aca="false">SUMIF($A$3:$A$522,$U34,G$3:G$522)</f>
        <v>12</v>
      </c>
      <c r="AF34" s="2" t="n">
        <f aca="false">SUMIF($A$3:$A$522,$U34,H$3:H$522)</f>
        <v>417</v>
      </c>
      <c r="AG34" s="2" t="n">
        <f aca="false">SUMIF($A$3:$A$522,$U34,N$3:N$522)</f>
        <v>251</v>
      </c>
      <c r="AI34" s="2" t="n">
        <f aca="false">SUMIF($A$525:$A$901,$U34,Q$525:Q$901)</f>
        <v>7242</v>
      </c>
      <c r="AJ34" s="40" t="n">
        <f aca="false">AI34*13/9</f>
        <v>10460.6666666667</v>
      </c>
      <c r="AK34" s="16" t="n">
        <f aca="false">AJ34/W34</f>
        <v>24.3838383838384</v>
      </c>
    </row>
    <row r="35" customFormat="false" ht="12.8" hidden="false" customHeight="false" outlineLevel="0" collapsed="false">
      <c r="A35" s="2" t="s">
        <v>226</v>
      </c>
      <c r="B35" s="2" t="s">
        <v>211</v>
      </c>
      <c r="C35" s="2" t="s">
        <v>218</v>
      </c>
      <c r="D35" s="2" t="n">
        <v>2374</v>
      </c>
      <c r="E35" s="2" t="n">
        <v>147</v>
      </c>
      <c r="F35" s="2" t="n">
        <v>345</v>
      </c>
      <c r="G35" s="2" t="n">
        <v>638</v>
      </c>
      <c r="H35" s="2" t="n">
        <v>2433</v>
      </c>
      <c r="I35" s="2" t="n">
        <v>1167</v>
      </c>
      <c r="J35" s="2" t="n">
        <v>787</v>
      </c>
      <c r="K35" s="2" t="n">
        <v>2695</v>
      </c>
      <c r="L35" s="2" t="n">
        <v>242</v>
      </c>
      <c r="M35" s="2" t="n">
        <v>136</v>
      </c>
      <c r="N35" s="2" t="n">
        <v>1356</v>
      </c>
      <c r="O35" s="2" t="n">
        <v>1651</v>
      </c>
      <c r="Q35" s="2" t="n">
        <f aca="false">F35+G35+H35</f>
        <v>3416</v>
      </c>
      <c r="U35" s="2" t="str">
        <f aca="false">A419</f>
        <v>Vancouver-Island-Nanaimo-Nanaimo-Medica</v>
      </c>
      <c r="V35" s="2" t="s">
        <v>37</v>
      </c>
      <c r="W35" s="2" t="n">
        <f aca="false">SUMIF($A$3:$A$522,$U35,Q$3:Q$522)</f>
        <v>18859</v>
      </c>
      <c r="X35" s="2" t="n">
        <f aca="false">SUMIF($A$3:$A$522,$U35,I$3:I$522)</f>
        <v>16027</v>
      </c>
      <c r="Y35" s="2" t="n">
        <f aca="false">SUMIF($A$3:$A$522,$U35,J$3:J$522)</f>
        <v>610</v>
      </c>
      <c r="Z35" s="2" t="n">
        <f aca="false">SUMIF($A$3:$A$522,$U35,K$3:K$522)</f>
        <v>5707</v>
      </c>
      <c r="AA35" s="2" t="n">
        <f aca="false">SUMIF($A$3:$A$522,$U35,L$3:L$522)</f>
        <v>0</v>
      </c>
      <c r="AB35" s="2" t="n">
        <f aca="false">SUMIF($A$3:$A$522,$U35,M$3:M$522)</f>
        <v>3334</v>
      </c>
      <c r="AC35" s="2" t="n">
        <f aca="false">SUM(X35:AB35)</f>
        <v>25678</v>
      </c>
      <c r="AD35" s="2" t="n">
        <f aca="false">SUMIF($A$3:$A$522,$U35,F$3:F$522)</f>
        <v>0</v>
      </c>
      <c r="AE35" s="2" t="n">
        <f aca="false">SUMIF($A$3:$A$522,$U35,G$3:G$522)</f>
        <v>12390</v>
      </c>
      <c r="AF35" s="2" t="n">
        <f aca="false">SUMIF($A$3:$A$522,$U35,H$3:H$522)</f>
        <v>6469</v>
      </c>
      <c r="AG35" s="2" t="n">
        <f aca="false">SUMIF($A$3:$A$522,$U35,N$3:N$522)</f>
        <v>394</v>
      </c>
      <c r="AI35" s="2" t="n">
        <f aca="false">SUMIF($A$525:$A$901,$U35,Q$525:Q$901)</f>
        <v>10928</v>
      </c>
      <c r="AJ35" s="40" t="n">
        <f aca="false">AI35*13/9</f>
        <v>15784.8888888889</v>
      </c>
      <c r="AK35" s="16" t="n">
        <f aca="false">AJ35/W35</f>
        <v>0.836995009750723</v>
      </c>
    </row>
    <row r="36" customFormat="false" ht="12.8" hidden="false" customHeight="false" outlineLevel="0" collapsed="false">
      <c r="A36" s="2" t="s">
        <v>226</v>
      </c>
      <c r="B36" s="2" t="s">
        <v>211</v>
      </c>
      <c r="C36" s="2" t="s">
        <v>219</v>
      </c>
      <c r="D36" s="2" t="n">
        <v>2396</v>
      </c>
      <c r="E36" s="2" t="n">
        <v>171</v>
      </c>
      <c r="F36" s="2" t="n">
        <v>303</v>
      </c>
      <c r="G36" s="2" t="n">
        <v>852</v>
      </c>
      <c r="H36" s="2" t="n">
        <v>2415</v>
      </c>
      <c r="I36" s="2" t="n">
        <v>1231</v>
      </c>
      <c r="J36" s="2" t="n">
        <v>618</v>
      </c>
      <c r="K36" s="2" t="n">
        <v>2850</v>
      </c>
      <c r="L36" s="2" t="n">
        <v>300</v>
      </c>
      <c r="M36" s="2" t="n">
        <v>115</v>
      </c>
      <c r="N36" s="2" t="n">
        <v>1266</v>
      </c>
      <c r="O36" s="2" t="n">
        <v>1609</v>
      </c>
      <c r="Q36" s="2" t="n">
        <f aca="false">F36+G36+H36</f>
        <v>3570</v>
      </c>
      <c r="U36" s="2" t="str">
        <f aca="false">A432</f>
        <v>Vancouver-Island-Saanich-Peninsula-North-Quadra</v>
      </c>
      <c r="V36" s="2" t="s">
        <v>40</v>
      </c>
      <c r="W36" s="2" t="n">
        <f aca="false">SUMIF($A$3:$A$522,$U36,Q$3:Q$522)</f>
        <v>17210</v>
      </c>
      <c r="X36" s="2" t="n">
        <f aca="false">SUMIF($A$3:$A$522,$U36,I$3:I$522)</f>
        <v>10495</v>
      </c>
      <c r="Y36" s="2" t="n">
        <f aca="false">SUMIF($A$3:$A$522,$U36,J$3:J$522)</f>
        <v>1667</v>
      </c>
      <c r="Z36" s="2" t="n">
        <f aca="false">SUMIF($A$3:$A$522,$U36,K$3:K$522)</f>
        <v>11496</v>
      </c>
      <c r="AA36" s="2" t="n">
        <f aca="false">SUMIF($A$3:$A$522,$U36,L$3:L$522)</f>
        <v>0</v>
      </c>
      <c r="AB36" s="2" t="n">
        <f aca="false">SUMIF($A$3:$A$522,$U36,M$3:M$522)</f>
        <v>1345</v>
      </c>
      <c r="AC36" s="2" t="n">
        <f aca="false">SUM(X36:AB36)</f>
        <v>25003</v>
      </c>
      <c r="AD36" s="2" t="n">
        <f aca="false">SUMIF($A$3:$A$522,$U36,F$3:F$522)</f>
        <v>2742</v>
      </c>
      <c r="AE36" s="2" t="n">
        <f aca="false">SUMIF($A$3:$A$522,$U36,G$3:G$522)</f>
        <v>3844</v>
      </c>
      <c r="AF36" s="2" t="n">
        <f aca="false">SUMIF($A$3:$A$522,$U36,H$3:H$522)</f>
        <v>10624</v>
      </c>
      <c r="AG36" s="2" t="n">
        <f aca="false">SUMIF($A$3:$A$522,$U36,N$3:N$522)</f>
        <v>7328</v>
      </c>
      <c r="AI36" s="2" t="n">
        <f aca="false">SUMIF($A$525:$A$901,$U36,Q$525:Q$901)</f>
        <v>15921</v>
      </c>
      <c r="AJ36" s="40" t="n">
        <f aca="false">AI36*13/9</f>
        <v>22997</v>
      </c>
      <c r="AK36" s="16" t="n">
        <f aca="false">AJ36/W36</f>
        <v>1.33625798954096</v>
      </c>
    </row>
    <row r="37" customFormat="false" ht="12.8" hidden="false" customHeight="false" outlineLevel="0" collapsed="false">
      <c r="A37" s="2" t="s">
        <v>226</v>
      </c>
      <c r="B37" s="2" t="s">
        <v>211</v>
      </c>
      <c r="C37" s="2" t="s">
        <v>220</v>
      </c>
      <c r="D37" s="2" t="n">
        <v>2243</v>
      </c>
      <c r="E37" s="2" t="n">
        <v>174</v>
      </c>
      <c r="F37" s="2" t="n">
        <v>344</v>
      </c>
      <c r="G37" s="2" t="n">
        <v>698</v>
      </c>
      <c r="H37" s="2" t="n">
        <v>2470</v>
      </c>
      <c r="I37" s="2" t="n">
        <v>1294</v>
      </c>
      <c r="J37" s="2" t="n">
        <v>624</v>
      </c>
      <c r="K37" s="2" t="n">
        <v>2816</v>
      </c>
      <c r="L37" s="2" t="n">
        <v>218</v>
      </c>
      <c r="M37" s="2" t="n">
        <v>93</v>
      </c>
      <c r="N37" s="2" t="n">
        <v>1203</v>
      </c>
      <c r="O37" s="2" t="n">
        <v>1782</v>
      </c>
      <c r="Q37" s="2" t="n">
        <f aca="false">F37+G37+H37</f>
        <v>3512</v>
      </c>
      <c r="U37" s="2" t="str">
        <f aca="false">A445</f>
        <v>Vancouver-Island-Saanich-Peninsula-Peninsula</v>
      </c>
      <c r="V37" s="2" t="s">
        <v>44</v>
      </c>
      <c r="W37" s="2" t="n">
        <f aca="false">SUMIF($A$3:$A$522,$U37,Q$3:Q$522)</f>
        <v>3649</v>
      </c>
      <c r="X37" s="2" t="n">
        <f aca="false">SUMIF($A$3:$A$522,$U37,I$3:I$522)</f>
        <v>2413</v>
      </c>
      <c r="Y37" s="2" t="n">
        <f aca="false">SUMIF($A$3:$A$522,$U37,J$3:J$522)</f>
        <v>729</v>
      </c>
      <c r="Z37" s="2" t="n">
        <f aca="false">SUMIF($A$3:$A$522,$U37,K$3:K$522)</f>
        <v>908</v>
      </c>
      <c r="AA37" s="2" t="n">
        <f aca="false">SUMIF($A$3:$A$522,$U37,L$3:L$522)</f>
        <v>0</v>
      </c>
      <c r="AB37" s="2" t="n">
        <f aca="false">SUMIF($A$3:$A$522,$U37,M$3:M$522)</f>
        <v>0</v>
      </c>
      <c r="AC37" s="2" t="n">
        <f aca="false">SUM(X37:AB37)</f>
        <v>4050</v>
      </c>
      <c r="AD37" s="2" t="n">
        <f aca="false">SUMIF($A$3:$A$522,$U37,F$3:F$522)</f>
        <v>0</v>
      </c>
      <c r="AE37" s="2" t="n">
        <f aca="false">SUMIF($A$3:$A$522,$U37,G$3:G$522)</f>
        <v>986</v>
      </c>
      <c r="AF37" s="2" t="n">
        <f aca="false">SUMIF($A$3:$A$522,$U37,H$3:H$522)</f>
        <v>2663</v>
      </c>
      <c r="AG37" s="2" t="n">
        <f aca="false">SUMIF($A$3:$A$522,$U37,N$3:N$522)</f>
        <v>608</v>
      </c>
      <c r="AI37" s="2" t="n">
        <f aca="false">SUMIF($A$525:$A$901,$U37,Q$525:Q$901)</f>
        <v>3702</v>
      </c>
      <c r="AJ37" s="40" t="n">
        <f aca="false">AI37*13/9</f>
        <v>5347.33333333333</v>
      </c>
      <c r="AK37" s="16" t="n">
        <f aca="false">AJ37/W37</f>
        <v>1.46542431716452</v>
      </c>
    </row>
    <row r="38" customFormat="false" ht="12.8" hidden="false" customHeight="false" outlineLevel="0" collapsed="false">
      <c r="A38" s="2" t="s">
        <v>226</v>
      </c>
      <c r="B38" s="2" t="s">
        <v>211</v>
      </c>
      <c r="C38" s="2" t="s">
        <v>221</v>
      </c>
      <c r="D38" s="2" t="n">
        <v>2435</v>
      </c>
      <c r="E38" s="2" t="n">
        <v>197</v>
      </c>
      <c r="F38" s="2" t="n">
        <v>340</v>
      </c>
      <c r="G38" s="2" t="n">
        <v>777</v>
      </c>
      <c r="H38" s="2" t="n">
        <v>2731</v>
      </c>
      <c r="I38" s="2" t="n">
        <v>1643</v>
      </c>
      <c r="J38" s="2" t="n">
        <v>585</v>
      </c>
      <c r="K38" s="2" t="n">
        <v>2820</v>
      </c>
      <c r="L38" s="2" t="n">
        <v>523</v>
      </c>
      <c r="M38" s="2" t="n">
        <v>128</v>
      </c>
      <c r="N38" s="2" t="n">
        <v>1371</v>
      </c>
      <c r="O38" s="2" t="n">
        <v>2281</v>
      </c>
      <c r="Q38" s="2" t="n">
        <f aca="false">F38+G38+H38</f>
        <v>3848</v>
      </c>
      <c r="U38" s="2" t="str">
        <f aca="false">A458</f>
        <v>Vancouver-Island-Victoria-Downtown-Victor</v>
      </c>
      <c r="V38" s="2" t="s">
        <v>39</v>
      </c>
      <c r="W38" s="2" t="n">
        <f aca="false">SUMIF($A$3:$A$522,$U38,Q$3:Q$522)</f>
        <v>58733</v>
      </c>
      <c r="X38" s="2" t="n">
        <f aca="false">SUMIF($A$3:$A$522,$U38,I$3:I$522)</f>
        <v>40056</v>
      </c>
      <c r="Y38" s="2" t="n">
        <f aca="false">SUMIF($A$3:$A$522,$U38,J$3:J$522)</f>
        <v>0</v>
      </c>
      <c r="Z38" s="2" t="n">
        <f aca="false">SUMIF($A$3:$A$522,$U38,K$3:K$522)</f>
        <v>26472</v>
      </c>
      <c r="AA38" s="2" t="n">
        <f aca="false">SUMIF($A$3:$A$522,$U38,L$3:L$522)</f>
        <v>0</v>
      </c>
      <c r="AB38" s="2" t="n">
        <f aca="false">SUMIF($A$3:$A$522,$U38,M$3:M$522)</f>
        <v>3390</v>
      </c>
      <c r="AC38" s="2" t="n">
        <f aca="false">SUM(X38:AB38)</f>
        <v>69918</v>
      </c>
      <c r="AD38" s="2" t="n">
        <f aca="false">SUMIF($A$3:$A$522,$U38,F$3:F$522)</f>
        <v>21779</v>
      </c>
      <c r="AE38" s="2" t="n">
        <f aca="false">SUMIF($A$3:$A$522,$U38,G$3:G$522)</f>
        <v>5594</v>
      </c>
      <c r="AF38" s="2" t="n">
        <f aca="false">SUMIF($A$3:$A$522,$U38,H$3:H$522)</f>
        <v>31360</v>
      </c>
      <c r="AG38" s="2" t="n">
        <f aca="false">SUMIF($A$3:$A$522,$U38,N$3:N$522)</f>
        <v>9956</v>
      </c>
      <c r="AI38" s="2" t="n">
        <f aca="false">SUMIF($A$525:$A$901,$U38,Q$525:Q$901)</f>
        <v>43246</v>
      </c>
      <c r="AJ38" s="40" t="n">
        <f aca="false">AI38*13/9</f>
        <v>62466.4444444444</v>
      </c>
      <c r="AK38" s="16" t="n">
        <f aca="false">AJ38/W38</f>
        <v>1.06356638422087</v>
      </c>
    </row>
    <row r="39" customFormat="false" ht="12.8" hidden="false" customHeight="false" outlineLevel="0" collapsed="false">
      <c r="A39" s="2" t="s">
        <v>226</v>
      </c>
      <c r="B39" s="2" t="s">
        <v>211</v>
      </c>
      <c r="C39" s="2" t="s">
        <v>222</v>
      </c>
      <c r="D39" s="2" t="n">
        <v>2191</v>
      </c>
      <c r="E39" s="2" t="n">
        <v>168</v>
      </c>
      <c r="F39" s="2" t="n">
        <v>295</v>
      </c>
      <c r="G39" s="2" t="n">
        <v>1009</v>
      </c>
      <c r="H39" s="2" t="n">
        <v>2257</v>
      </c>
      <c r="I39" s="2" t="n">
        <v>1298</v>
      </c>
      <c r="J39" s="2" t="n">
        <v>505</v>
      </c>
      <c r="K39" s="2" t="n">
        <v>2840</v>
      </c>
      <c r="L39" s="2" t="n">
        <v>490</v>
      </c>
      <c r="M39" s="2" t="n">
        <v>112</v>
      </c>
      <c r="N39" s="2" t="n">
        <v>1639</v>
      </c>
      <c r="O39" s="2" t="n">
        <v>1955</v>
      </c>
      <c r="Q39" s="2" t="n">
        <f aca="false">F39+G39+H39</f>
        <v>3561</v>
      </c>
      <c r="U39" s="2" t="str">
        <f aca="false">A471</f>
        <v>Vancouver-Island-Victoria-Gorge-Road</v>
      </c>
      <c r="V39" s="2" t="s">
        <v>42</v>
      </c>
      <c r="W39" s="2" t="n">
        <f aca="false">SUMIF($A$3:$A$522,$U39,Q$3:Q$522)</f>
        <v>30280</v>
      </c>
      <c r="X39" s="2" t="n">
        <f aca="false">SUMIF($A$3:$A$522,$U39,I$3:I$522)</f>
        <v>17289</v>
      </c>
      <c r="Y39" s="2" t="n">
        <f aca="false">SUMIF($A$3:$A$522,$U39,J$3:J$522)</f>
        <v>13291</v>
      </c>
      <c r="Z39" s="2" t="n">
        <f aca="false">SUMIF($A$3:$A$522,$U39,K$3:K$522)</f>
        <v>12523</v>
      </c>
      <c r="AA39" s="2" t="n">
        <f aca="false">SUMIF($A$3:$A$522,$U39,L$3:L$522)</f>
        <v>0</v>
      </c>
      <c r="AB39" s="2" t="n">
        <f aca="false">SUMIF($A$3:$A$522,$U39,M$3:M$522)</f>
        <v>2345</v>
      </c>
      <c r="AC39" s="2" t="n">
        <f aca="false">SUM(X39:AB39)</f>
        <v>45448</v>
      </c>
      <c r="AD39" s="2" t="n">
        <f aca="false">SUMIF($A$3:$A$522,$U39,F$3:F$522)</f>
        <v>9801</v>
      </c>
      <c r="AE39" s="2" t="n">
        <f aca="false">SUMIF($A$3:$A$522,$U39,G$3:G$522)</f>
        <v>3138</v>
      </c>
      <c r="AF39" s="2" t="n">
        <f aca="false">SUMIF($A$3:$A$522,$U39,H$3:H$522)</f>
        <v>17341</v>
      </c>
      <c r="AG39" s="2" t="n">
        <f aca="false">SUMIF($A$3:$A$522,$U39,N$3:N$522)</f>
        <v>7649</v>
      </c>
      <c r="AI39" s="2" t="n">
        <f aca="false">SUMIF($A$525:$A$901,$U39,Q$525:Q$901)</f>
        <v>24319</v>
      </c>
      <c r="AJ39" s="40" t="n">
        <f aca="false">AI39*13/9</f>
        <v>35127.4444444444</v>
      </c>
      <c r="AK39" s="16" t="n">
        <f aca="false">AJ39/W39</f>
        <v>1.16008733303978</v>
      </c>
    </row>
    <row r="40" customFormat="false" ht="12.8" hidden="false" customHeight="false" outlineLevel="0" collapsed="false">
      <c r="A40" s="2" t="s">
        <v>226</v>
      </c>
      <c r="B40" s="2" t="s">
        <v>211</v>
      </c>
      <c r="C40" s="2" t="s">
        <v>223</v>
      </c>
      <c r="D40" s="2" t="n">
        <v>2289</v>
      </c>
      <c r="E40" s="2" t="n">
        <v>163</v>
      </c>
      <c r="F40" s="2" t="n">
        <v>433</v>
      </c>
      <c r="G40" s="2" t="n">
        <v>1162</v>
      </c>
      <c r="H40" s="2" t="n">
        <v>2232</v>
      </c>
      <c r="I40" s="2" t="n">
        <v>1425</v>
      </c>
      <c r="J40" s="2" t="n">
        <v>667</v>
      </c>
      <c r="K40" s="2" t="n">
        <v>3102</v>
      </c>
      <c r="L40" s="2" t="n">
        <v>373</v>
      </c>
      <c r="M40" s="2" t="n">
        <v>135</v>
      </c>
      <c r="N40" s="2" t="n">
        <v>1845</v>
      </c>
      <c r="O40" s="2" t="n">
        <v>2201</v>
      </c>
      <c r="Q40" s="2" t="n">
        <f aca="false">F40+G40+H40</f>
        <v>3827</v>
      </c>
      <c r="U40" s="2" t="str">
        <f aca="false">A484</f>
        <v>Vancouver-Island-Victoria-James-Bay</v>
      </c>
      <c r="V40" s="2" t="s">
        <v>38</v>
      </c>
      <c r="W40" s="2" t="n">
        <f aca="false">SUMIF($A$3:$A$522,$U40,Q$3:Q$522)</f>
        <v>22258</v>
      </c>
      <c r="X40" s="2" t="n">
        <f aca="false">SUMIF($A$3:$A$522,$U40,I$3:I$522)</f>
        <v>12931</v>
      </c>
      <c r="Y40" s="2" t="n">
        <f aca="false">SUMIF($A$3:$A$522,$U40,J$3:J$522)</f>
        <v>0</v>
      </c>
      <c r="Z40" s="2" t="n">
        <f aca="false">SUMIF($A$3:$A$522,$U40,K$3:K$522)</f>
        <v>12042</v>
      </c>
      <c r="AA40" s="2" t="n">
        <f aca="false">SUMIF($A$3:$A$522,$U40,L$3:L$522)</f>
        <v>0</v>
      </c>
      <c r="AB40" s="2" t="n">
        <f aca="false">SUMIF($A$3:$A$522,$U40,M$3:M$522)</f>
        <v>646</v>
      </c>
      <c r="AC40" s="2" t="n">
        <f aca="false">SUM(X40:AB40)</f>
        <v>25619</v>
      </c>
      <c r="AD40" s="2" t="n">
        <f aca="false">SUMIF($A$3:$A$522,$U40,F$3:F$522)</f>
        <v>14889</v>
      </c>
      <c r="AE40" s="2" t="n">
        <f aca="false">SUMIF($A$3:$A$522,$U40,G$3:G$522)</f>
        <v>1953</v>
      </c>
      <c r="AF40" s="2" t="n">
        <f aca="false">SUMIF($A$3:$A$522,$U40,H$3:H$522)</f>
        <v>5416</v>
      </c>
      <c r="AG40" s="2" t="n">
        <f aca="false">SUMIF($A$3:$A$522,$U40,N$3:N$522)</f>
        <v>7069</v>
      </c>
      <c r="AI40" s="2" t="n">
        <f aca="false">SUMIF($A$525:$A$901,$U40,Q$525:Q$901)</f>
        <v>19082</v>
      </c>
      <c r="AJ40" s="40" t="n">
        <f aca="false">AI40*13/9</f>
        <v>27562.8888888889</v>
      </c>
      <c r="AK40" s="16" t="n">
        <f aca="false">AJ40/W40</f>
        <v>1.23833627859147</v>
      </c>
    </row>
    <row r="41" customFormat="false" ht="12.8" hidden="false" customHeight="false" outlineLevel="0" collapsed="false">
      <c r="A41" s="2" t="s">
        <v>226</v>
      </c>
      <c r="B41" s="2" t="s">
        <v>211</v>
      </c>
      <c r="C41" s="2" t="s">
        <v>224</v>
      </c>
      <c r="D41" s="2" t="n">
        <v>2400</v>
      </c>
      <c r="E41" s="2" t="n">
        <v>164</v>
      </c>
      <c r="F41" s="2" t="n">
        <v>464</v>
      </c>
      <c r="G41" s="2" t="n">
        <v>1246</v>
      </c>
      <c r="H41" s="2" t="n">
        <v>2424</v>
      </c>
      <c r="I41" s="2" t="n">
        <v>1653</v>
      </c>
      <c r="J41" s="2" t="n">
        <v>633</v>
      </c>
      <c r="K41" s="2" t="n">
        <v>3312</v>
      </c>
      <c r="L41" s="2" t="n">
        <v>494</v>
      </c>
      <c r="M41" s="2" t="n">
        <v>148</v>
      </c>
      <c r="N41" s="2" t="n">
        <v>2124</v>
      </c>
      <c r="O41" s="2" t="n">
        <v>2379</v>
      </c>
      <c r="Q41" s="2" t="n">
        <f aca="false">F41+G41+H41</f>
        <v>4134</v>
      </c>
      <c r="U41" s="2" t="str">
        <f aca="false">A497</f>
        <v>Vancouver-Island-Western-CommunitiesEsquimalt</v>
      </c>
      <c r="V41" s="2" t="s">
        <v>41</v>
      </c>
      <c r="W41" s="2" t="n">
        <f aca="false">SUMIF($A$3:$A$522,$U41,Q$3:Q$522)</f>
        <v>18227</v>
      </c>
      <c r="X41" s="2" t="n">
        <f aca="false">SUMIF($A$3:$A$522,$U41,I$3:I$522)</f>
        <v>7986</v>
      </c>
      <c r="Y41" s="2" t="n">
        <f aca="false">SUMIF($A$3:$A$522,$U41,J$3:J$522)</f>
        <v>1369</v>
      </c>
      <c r="Z41" s="2" t="n">
        <f aca="false">SUMIF($A$3:$A$522,$U41,K$3:K$522)</f>
        <v>12037</v>
      </c>
      <c r="AA41" s="2" t="n">
        <f aca="false">SUMIF($A$3:$A$522,$U41,L$3:L$522)</f>
        <v>0</v>
      </c>
      <c r="AB41" s="2" t="n">
        <f aca="false">SUMIF($A$3:$A$522,$U41,M$3:M$522)</f>
        <v>2328</v>
      </c>
      <c r="AC41" s="2" t="n">
        <f aca="false">SUM(X41:AB41)</f>
        <v>23720</v>
      </c>
      <c r="AD41" s="2" t="n">
        <f aca="false">SUMIF($A$3:$A$522,$U41,F$3:F$522)</f>
        <v>2931</v>
      </c>
      <c r="AE41" s="2" t="n">
        <f aca="false">SUMIF($A$3:$A$522,$U41,G$3:G$522)</f>
        <v>4002</v>
      </c>
      <c r="AF41" s="2" t="n">
        <f aca="false">SUMIF($A$3:$A$522,$U41,H$3:H$522)</f>
        <v>11294</v>
      </c>
      <c r="AG41" s="2" t="n">
        <f aca="false">SUMIF($A$3:$A$522,$U41,N$3:N$522)</f>
        <v>7918</v>
      </c>
      <c r="AI41" s="2" t="n">
        <f aca="false">SUMIF($A$525:$A$901,$U41,Q$525:Q$901)</f>
        <v>13890</v>
      </c>
      <c r="AJ41" s="40" t="n">
        <f aca="false">AI41*13/9</f>
        <v>20063.3333333333</v>
      </c>
      <c r="AK41" s="16" t="n">
        <f aca="false">AJ41/W41</f>
        <v>1.10074797461641</v>
      </c>
    </row>
    <row r="42" customFormat="false" ht="12.8" hidden="false" customHeight="false" outlineLevel="0" collapsed="false">
      <c r="A42" s="2" t="s">
        <v>227</v>
      </c>
      <c r="B42" s="2" t="s">
        <v>211</v>
      </c>
      <c r="C42" s="2" t="s">
        <v>212</v>
      </c>
      <c r="D42" s="2" t="n">
        <v>230</v>
      </c>
      <c r="E42" s="2" t="n">
        <v>6</v>
      </c>
      <c r="F42" s="2" t="n">
        <v>0</v>
      </c>
      <c r="G42" s="2" t="n">
        <v>177</v>
      </c>
      <c r="H42" s="2" t="n">
        <v>76</v>
      </c>
      <c r="I42" s="2" t="n">
        <v>101</v>
      </c>
      <c r="J42" s="2" t="n">
        <v>44</v>
      </c>
      <c r="K42" s="2" t="n">
        <v>234</v>
      </c>
      <c r="L42" s="2" t="n">
        <v>86</v>
      </c>
      <c r="M42" s="2" t="n">
        <v>0</v>
      </c>
      <c r="N42" s="2" t="n">
        <v>59</v>
      </c>
      <c r="O42" s="2" t="n">
        <v>401</v>
      </c>
      <c r="Q42" s="2" t="n">
        <f aca="false">F42+G42+H42</f>
        <v>253</v>
      </c>
      <c r="U42" s="2" t="str">
        <f aca="false">A510</f>
        <v>Vancouver-Island-Western-CommunitiesWestshore</v>
      </c>
      <c r="V42" s="2" t="s">
        <v>36</v>
      </c>
      <c r="W42" s="2" t="n">
        <f aca="false">SUMIF($A$3:$A$522,$U42,Q$3:Q$522)</f>
        <v>18203</v>
      </c>
      <c r="X42" s="2" t="n">
        <f aca="false">SUMIF($A$3:$A$522,$U42,I$3:I$522)</f>
        <v>12465</v>
      </c>
      <c r="Y42" s="2" t="n">
        <f aca="false">SUMIF($A$3:$A$522,$U42,J$3:J$522)</f>
        <v>1453</v>
      </c>
      <c r="Z42" s="2" t="n">
        <f aca="false">SUMIF($A$3:$A$522,$U42,K$3:K$522)</f>
        <v>13972</v>
      </c>
      <c r="AA42" s="2" t="n">
        <f aca="false">SUMIF($A$3:$A$522,$U42,L$3:L$522)</f>
        <v>0</v>
      </c>
      <c r="AB42" s="2" t="n">
        <f aca="false">SUMIF($A$3:$A$522,$U42,M$3:M$522)</f>
        <v>1444</v>
      </c>
      <c r="AC42" s="2" t="n">
        <f aca="false">SUM(X42:AB42)</f>
        <v>29334</v>
      </c>
      <c r="AD42" s="2" t="n">
        <f aca="false">SUMIF($A$3:$A$522,$U42,F$3:F$522)</f>
        <v>1441</v>
      </c>
      <c r="AE42" s="2" t="n">
        <f aca="false">SUMIF($A$3:$A$522,$U42,G$3:G$522)</f>
        <v>5292</v>
      </c>
      <c r="AF42" s="2" t="n">
        <f aca="false">SUMIF($A$3:$A$522,$U42,H$3:H$522)</f>
        <v>11470</v>
      </c>
      <c r="AG42" s="2" t="n">
        <f aca="false">SUMIF($A$3:$A$522,$U42,N$3:N$522)</f>
        <v>2461</v>
      </c>
      <c r="AI42" s="2" t="n">
        <f aca="false">SUMIF($A$525:$A$901,$U42,Q$525:Q$901)</f>
        <v>16239</v>
      </c>
      <c r="AJ42" s="40" t="n">
        <f aca="false">AI42*13/9</f>
        <v>23456.3333333333</v>
      </c>
      <c r="AK42" s="16" t="n">
        <f aca="false">AJ42/W42</f>
        <v>1.28859711769122</v>
      </c>
    </row>
    <row r="43" customFormat="false" ht="12.8" hidden="false" customHeight="false" outlineLevel="0" collapsed="false">
      <c r="A43" s="2" t="s">
        <v>227</v>
      </c>
      <c r="B43" s="2" t="s">
        <v>211</v>
      </c>
      <c r="C43" s="2" t="s">
        <v>213</v>
      </c>
      <c r="D43" s="2" t="n">
        <v>573</v>
      </c>
      <c r="E43" s="2" t="n">
        <v>13</v>
      </c>
      <c r="F43" s="2" t="n">
        <v>0</v>
      </c>
      <c r="G43" s="2" t="n">
        <v>524</v>
      </c>
      <c r="H43" s="2" t="n">
        <v>236</v>
      </c>
      <c r="I43" s="2" t="n">
        <v>79</v>
      </c>
      <c r="J43" s="2" t="n">
        <v>189</v>
      </c>
      <c r="K43" s="2" t="n">
        <v>722</v>
      </c>
      <c r="L43" s="2" t="n">
        <v>111</v>
      </c>
      <c r="M43" s="2" t="n">
        <v>0</v>
      </c>
      <c r="N43" s="2" t="n">
        <v>216</v>
      </c>
      <c r="O43" s="2" t="n">
        <v>902</v>
      </c>
      <c r="Q43" s="2" t="n">
        <f aca="false">F43+G43+H43</f>
        <v>760</v>
      </c>
    </row>
    <row r="44" customFormat="false" ht="12.8" hidden="false" customHeight="false" outlineLevel="0" collapsed="false">
      <c r="A44" s="2" t="s">
        <v>227</v>
      </c>
      <c r="B44" s="2" t="s">
        <v>211</v>
      </c>
      <c r="C44" s="2" t="s">
        <v>214</v>
      </c>
      <c r="D44" s="2" t="n">
        <v>630</v>
      </c>
      <c r="E44" s="2" t="n">
        <v>20</v>
      </c>
      <c r="F44" s="2" t="n">
        <v>0</v>
      </c>
      <c r="G44" s="2" t="n">
        <v>590</v>
      </c>
      <c r="H44" s="2" t="n">
        <v>249</v>
      </c>
      <c r="I44" s="2" t="n">
        <v>104</v>
      </c>
      <c r="J44" s="2" t="n">
        <v>175</v>
      </c>
      <c r="K44" s="2" t="n">
        <v>790</v>
      </c>
      <c r="L44" s="2" t="n">
        <v>184</v>
      </c>
      <c r="M44" s="2" t="n">
        <v>0</v>
      </c>
      <c r="N44" s="2" t="n">
        <v>281</v>
      </c>
      <c r="O44" s="2" t="n">
        <v>997</v>
      </c>
      <c r="Q44" s="2" t="n">
        <f aca="false">F44+G44+H44</f>
        <v>839</v>
      </c>
      <c r="W44" s="2" t="n">
        <f aca="false">SUM(W3:W42)</f>
        <v>898329</v>
      </c>
      <c r="X44" s="2" t="n">
        <f aca="false">SUM(X3:X42)</f>
        <v>426329</v>
      </c>
      <c r="Y44" s="2" t="n">
        <f aca="false">SUM(Y3:Y42)</f>
        <v>160445</v>
      </c>
      <c r="Z44" s="2" t="n">
        <f aca="false">SUM(Z3:Z42)</f>
        <v>775885</v>
      </c>
      <c r="AA44" s="2" t="n">
        <f aca="false">SUM(AA3:AA42)</f>
        <v>62559</v>
      </c>
      <c r="AB44" s="2" t="n">
        <f aca="false">SUM(AB3:AB42)</f>
        <v>72226</v>
      </c>
      <c r="AC44" s="2" t="n">
        <f aca="false">SUM(AC3:AC42)</f>
        <v>1497444</v>
      </c>
      <c r="AD44" s="2" t="n">
        <f aca="false">SUM(AD3:AD42)</f>
        <v>133034</v>
      </c>
      <c r="AE44" s="2" t="n">
        <f aca="false">SUM(AE3:AE42)</f>
        <v>357931</v>
      </c>
      <c r="AF44" s="2" t="n">
        <f aca="false">SUM(AF3:AF42)</f>
        <v>407364</v>
      </c>
      <c r="AG44" s="2" t="n">
        <f aca="false">SUM(AG3:AG42)</f>
        <v>233570</v>
      </c>
    </row>
    <row r="45" customFormat="false" ht="12.8" hidden="false" customHeight="false" outlineLevel="0" collapsed="false">
      <c r="A45" s="2" t="s">
        <v>227</v>
      </c>
      <c r="B45" s="2" t="s">
        <v>211</v>
      </c>
      <c r="C45" s="2" t="s">
        <v>215</v>
      </c>
      <c r="D45" s="2" t="n">
        <v>583</v>
      </c>
      <c r="E45" s="2" t="n">
        <v>30</v>
      </c>
      <c r="F45" s="2" t="n">
        <v>0</v>
      </c>
      <c r="G45" s="2" t="n">
        <v>526</v>
      </c>
      <c r="H45" s="2" t="n">
        <v>263</v>
      </c>
      <c r="I45" s="2" t="n">
        <v>71</v>
      </c>
      <c r="J45" s="2" t="n">
        <v>220</v>
      </c>
      <c r="K45" s="2" t="n">
        <v>740</v>
      </c>
      <c r="L45" s="2" t="n">
        <v>170</v>
      </c>
      <c r="M45" s="2" t="n">
        <v>0</v>
      </c>
      <c r="N45" s="2" t="n">
        <v>273</v>
      </c>
      <c r="O45" s="2" t="n">
        <v>973</v>
      </c>
      <c r="Q45" s="2" t="n">
        <f aca="false">F45+G45+H45</f>
        <v>789</v>
      </c>
      <c r="X45" s="16" t="n">
        <f aca="false">X44/$AC44</f>
        <v>0.284704469749787</v>
      </c>
      <c r="Y45" s="16" t="n">
        <f aca="false">Y44/$AC44</f>
        <v>0.107145909963912</v>
      </c>
      <c r="Z45" s="16" t="n">
        <f aca="false">Z44/$AC44</f>
        <v>0.518139576505031</v>
      </c>
      <c r="AA45" s="16" t="n">
        <f aca="false">AA44/$AC44</f>
        <v>0.0417771883289125</v>
      </c>
      <c r="AB45" s="16" t="n">
        <f aca="false">AB44/$AC44</f>
        <v>0.0482328554523575</v>
      </c>
      <c r="AC45" s="16" t="n">
        <f aca="false">AC44/$AC44</f>
        <v>1</v>
      </c>
      <c r="AD45" s="16" t="n">
        <f aca="false">AD44/W44</f>
        <v>0.148090510269623</v>
      </c>
      <c r="AE45" s="16" t="n">
        <f aca="false">AE44/W44</f>
        <v>0.398440883017246</v>
      </c>
      <c r="AF45" s="16" t="n">
        <f aca="false">AF44/W44</f>
        <v>0.453468606713131</v>
      </c>
      <c r="AG45" s="16" t="n">
        <f aca="false">AG44/$AC44</f>
        <v>0.155979121756807</v>
      </c>
    </row>
    <row r="46" customFormat="false" ht="12.8" hidden="false" customHeight="false" outlineLevel="0" collapsed="false">
      <c r="A46" s="2" t="s">
        <v>227</v>
      </c>
      <c r="B46" s="2" t="s">
        <v>211</v>
      </c>
      <c r="C46" s="2" t="s">
        <v>216</v>
      </c>
      <c r="D46" s="2" t="n">
        <v>556</v>
      </c>
      <c r="E46" s="2" t="n">
        <v>26</v>
      </c>
      <c r="F46" s="2" t="n">
        <v>0</v>
      </c>
      <c r="G46" s="2" t="n">
        <v>482</v>
      </c>
      <c r="H46" s="2" t="n">
        <v>310</v>
      </c>
      <c r="I46" s="2" t="n">
        <v>93</v>
      </c>
      <c r="J46" s="2" t="n">
        <v>199</v>
      </c>
      <c r="K46" s="2" t="n">
        <v>718</v>
      </c>
      <c r="L46" s="2" t="n">
        <v>204</v>
      </c>
      <c r="M46" s="2" t="n">
        <v>0</v>
      </c>
      <c r="N46" s="2" t="n">
        <v>282</v>
      </c>
      <c r="O46" s="2" t="n">
        <v>989</v>
      </c>
      <c r="Q46" s="2" t="n">
        <f aca="false">F46+G46+H46</f>
        <v>792</v>
      </c>
    </row>
    <row r="47" customFormat="false" ht="12.8" hidden="false" customHeight="false" outlineLevel="0" collapsed="false">
      <c r="A47" s="2" t="s">
        <v>227</v>
      </c>
      <c r="B47" s="2" t="s">
        <v>211</v>
      </c>
      <c r="C47" s="2" t="s">
        <v>217</v>
      </c>
      <c r="D47" s="2" t="n">
        <v>399</v>
      </c>
      <c r="E47" s="2" t="n">
        <v>10</v>
      </c>
      <c r="F47" s="2" t="n">
        <v>0</v>
      </c>
      <c r="G47" s="2" t="n">
        <v>315</v>
      </c>
      <c r="H47" s="2" t="n">
        <v>171</v>
      </c>
      <c r="I47" s="2" t="n">
        <v>199</v>
      </c>
      <c r="J47" s="2" t="n">
        <v>69</v>
      </c>
      <c r="K47" s="2" t="n">
        <v>442</v>
      </c>
      <c r="L47" s="2" t="n">
        <v>138</v>
      </c>
      <c r="M47" s="2" t="n">
        <v>0</v>
      </c>
      <c r="N47" s="2" t="n">
        <v>114</v>
      </c>
      <c r="O47" s="2" t="n">
        <v>722</v>
      </c>
      <c r="Q47" s="2" t="n">
        <f aca="false">F47+G47+H47</f>
        <v>486</v>
      </c>
    </row>
    <row r="48" customFormat="false" ht="12.8" hidden="false" customHeight="false" outlineLevel="0" collapsed="false">
      <c r="A48" s="2" t="s">
        <v>227</v>
      </c>
      <c r="B48" s="2" t="s">
        <v>211</v>
      </c>
      <c r="C48" s="2" t="s">
        <v>218</v>
      </c>
      <c r="D48" s="2" t="n">
        <v>407</v>
      </c>
      <c r="E48" s="2" t="n">
        <v>9</v>
      </c>
      <c r="F48" s="2" t="n">
        <v>0</v>
      </c>
      <c r="G48" s="2" t="n">
        <v>312</v>
      </c>
      <c r="H48" s="2" t="n">
        <v>202</v>
      </c>
      <c r="I48" s="2" t="n">
        <v>237</v>
      </c>
      <c r="J48" s="2" t="n">
        <v>37</v>
      </c>
      <c r="K48" s="2" t="n">
        <v>463</v>
      </c>
      <c r="L48" s="2" t="n">
        <v>160</v>
      </c>
      <c r="M48" s="2" t="n">
        <v>0</v>
      </c>
      <c r="N48" s="2" t="n">
        <v>121</v>
      </c>
      <c r="O48" s="2" t="n">
        <v>748</v>
      </c>
      <c r="Q48" s="2" t="n">
        <f aca="false">F48+G48+H48</f>
        <v>514</v>
      </c>
    </row>
    <row r="49" customFormat="false" ht="12.8" hidden="false" customHeight="false" outlineLevel="0" collapsed="false">
      <c r="A49" s="2" t="s">
        <v>227</v>
      </c>
      <c r="B49" s="2" t="s">
        <v>211</v>
      </c>
      <c r="C49" s="2" t="s">
        <v>219</v>
      </c>
      <c r="D49" s="2" t="n">
        <v>373</v>
      </c>
      <c r="E49" s="2" t="n">
        <v>21</v>
      </c>
      <c r="F49" s="2" t="n">
        <v>0</v>
      </c>
      <c r="G49" s="2" t="n">
        <v>351</v>
      </c>
      <c r="H49" s="2" t="n">
        <v>115</v>
      </c>
      <c r="I49" s="2" t="n">
        <v>253</v>
      </c>
      <c r="J49" s="2" t="n">
        <v>31</v>
      </c>
      <c r="K49" s="2" t="n">
        <v>422</v>
      </c>
      <c r="L49" s="2" t="n">
        <v>208</v>
      </c>
      <c r="M49" s="2" t="n">
        <v>0</v>
      </c>
      <c r="N49" s="2" t="n">
        <v>80</v>
      </c>
      <c r="O49" s="2" t="n">
        <v>770</v>
      </c>
      <c r="Q49" s="2" t="n">
        <f aca="false">F49+G49+H49</f>
        <v>466</v>
      </c>
    </row>
    <row r="50" customFormat="false" ht="12.8" hidden="false" customHeight="false" outlineLevel="0" collapsed="false">
      <c r="A50" s="2" t="s">
        <v>227</v>
      </c>
      <c r="B50" s="2" t="s">
        <v>211</v>
      </c>
      <c r="C50" s="2" t="s">
        <v>220</v>
      </c>
      <c r="D50" s="2" t="n">
        <v>418</v>
      </c>
      <c r="E50" s="2" t="n">
        <v>13</v>
      </c>
      <c r="F50" s="2" t="n">
        <v>0</v>
      </c>
      <c r="G50" s="2" t="n">
        <v>384</v>
      </c>
      <c r="H50" s="2" t="n">
        <v>140</v>
      </c>
      <c r="I50" s="2" t="n">
        <v>245</v>
      </c>
      <c r="J50" s="2" t="n">
        <v>20</v>
      </c>
      <c r="K50" s="2" t="n">
        <v>474</v>
      </c>
      <c r="L50" s="2" t="n">
        <v>120</v>
      </c>
      <c r="M50" s="2" t="n">
        <v>0</v>
      </c>
      <c r="N50" s="2" t="n">
        <v>85</v>
      </c>
      <c r="O50" s="2" t="n">
        <v>731</v>
      </c>
      <c r="Q50" s="2" t="n">
        <f aca="false">F50+G50+H50</f>
        <v>524</v>
      </c>
    </row>
    <row r="51" customFormat="false" ht="12.8" hidden="false" customHeight="false" outlineLevel="0" collapsed="false">
      <c r="A51" s="2" t="s">
        <v>227</v>
      </c>
      <c r="B51" s="2" t="s">
        <v>211</v>
      </c>
      <c r="C51" s="2" t="s">
        <v>221</v>
      </c>
      <c r="D51" s="2" t="n">
        <v>402</v>
      </c>
      <c r="E51" s="2" t="n">
        <v>15</v>
      </c>
      <c r="F51" s="2" t="n">
        <v>0</v>
      </c>
      <c r="G51" s="2" t="n">
        <v>372</v>
      </c>
      <c r="H51" s="2" t="n">
        <v>132</v>
      </c>
      <c r="I51" s="2" t="n">
        <v>198</v>
      </c>
      <c r="J51" s="2" t="n">
        <v>74</v>
      </c>
      <c r="K51" s="2" t="n">
        <v>464</v>
      </c>
      <c r="L51" s="2" t="n">
        <v>156</v>
      </c>
      <c r="M51" s="2" t="n">
        <v>0</v>
      </c>
      <c r="N51" s="2" t="n">
        <v>84</v>
      </c>
      <c r="O51" s="2" t="n">
        <v>748</v>
      </c>
      <c r="Q51" s="2" t="n">
        <f aca="false">F51+G51+H51</f>
        <v>504</v>
      </c>
    </row>
    <row r="52" customFormat="false" ht="12.8" hidden="false" customHeight="false" outlineLevel="0" collapsed="false">
      <c r="A52" s="2" t="s">
        <v>227</v>
      </c>
      <c r="B52" s="2" t="s">
        <v>211</v>
      </c>
      <c r="C52" s="2" t="s">
        <v>222</v>
      </c>
      <c r="D52" s="2" t="n">
        <v>394</v>
      </c>
      <c r="E52" s="2" t="n">
        <v>14</v>
      </c>
      <c r="F52" s="2" t="n">
        <v>0</v>
      </c>
      <c r="G52" s="2" t="n">
        <v>336</v>
      </c>
      <c r="H52" s="2" t="n">
        <v>158</v>
      </c>
      <c r="I52" s="2" t="n">
        <v>200</v>
      </c>
      <c r="J52" s="2" t="n">
        <v>83</v>
      </c>
      <c r="K52" s="2" t="n">
        <v>455</v>
      </c>
      <c r="L52" s="2" t="n">
        <v>146</v>
      </c>
      <c r="M52" s="2" t="n">
        <v>0</v>
      </c>
      <c r="N52" s="2" t="n">
        <v>68</v>
      </c>
      <c r="O52" s="2" t="n">
        <v>747</v>
      </c>
      <c r="Q52" s="2" t="n">
        <f aca="false">F52+G52+H52</f>
        <v>494</v>
      </c>
    </row>
    <row r="53" customFormat="false" ht="12.8" hidden="false" customHeight="false" outlineLevel="0" collapsed="false">
      <c r="A53" s="2" t="s">
        <v>227</v>
      </c>
      <c r="B53" s="2" t="s">
        <v>211</v>
      </c>
      <c r="C53" s="2" t="s">
        <v>223</v>
      </c>
      <c r="D53" s="2" t="n">
        <v>469</v>
      </c>
      <c r="E53" s="2" t="n">
        <v>10</v>
      </c>
      <c r="F53" s="2" t="n">
        <v>0</v>
      </c>
      <c r="G53" s="2" t="n">
        <v>411</v>
      </c>
      <c r="H53" s="2" t="n">
        <v>174</v>
      </c>
      <c r="I53" s="2" t="n">
        <v>192</v>
      </c>
      <c r="J53" s="2" t="n">
        <v>130</v>
      </c>
      <c r="K53" s="2" t="n">
        <v>546</v>
      </c>
      <c r="L53" s="2" t="n">
        <v>113</v>
      </c>
      <c r="M53" s="2" t="n">
        <v>0</v>
      </c>
      <c r="N53" s="2" t="n">
        <v>96</v>
      </c>
      <c r="O53" s="2" t="n">
        <v>802</v>
      </c>
      <c r="Q53" s="2" t="n">
        <f aca="false">F53+G53+H53</f>
        <v>585</v>
      </c>
    </row>
    <row r="54" customFormat="false" ht="12.8" hidden="false" customHeight="false" outlineLevel="0" collapsed="false">
      <c r="A54" s="2" t="s">
        <v>227</v>
      </c>
      <c r="B54" s="2" t="s">
        <v>211</v>
      </c>
      <c r="C54" s="2" t="s">
        <v>224</v>
      </c>
      <c r="D54" s="2" t="n">
        <v>481</v>
      </c>
      <c r="E54" s="2" t="n">
        <v>12</v>
      </c>
      <c r="F54" s="2" t="n">
        <v>0</v>
      </c>
      <c r="G54" s="2" t="n">
        <v>436</v>
      </c>
      <c r="H54" s="2" t="n">
        <v>187</v>
      </c>
      <c r="I54" s="2" t="n">
        <v>142</v>
      </c>
      <c r="J54" s="2" t="n">
        <v>171</v>
      </c>
      <c r="K54" s="2" t="n">
        <v>562</v>
      </c>
      <c r="L54" s="2" t="n">
        <v>105</v>
      </c>
      <c r="M54" s="2" t="n">
        <v>0</v>
      </c>
      <c r="N54" s="2" t="n">
        <v>130</v>
      </c>
      <c r="O54" s="2" t="n">
        <v>803</v>
      </c>
      <c r="Q54" s="2" t="n">
        <f aca="false">F54+G54+H54</f>
        <v>623</v>
      </c>
    </row>
    <row r="55" customFormat="false" ht="12.8" hidden="false" customHeight="false" outlineLevel="0" collapsed="false">
      <c r="A55" s="2" t="s">
        <v>228</v>
      </c>
      <c r="B55" s="2" t="s">
        <v>211</v>
      </c>
      <c r="C55" s="2" t="s">
        <v>212</v>
      </c>
      <c r="D55" s="2" t="n">
        <v>2849</v>
      </c>
      <c r="E55" s="2" t="n">
        <v>66</v>
      </c>
      <c r="F55" s="2" t="n">
        <v>484</v>
      </c>
      <c r="G55" s="2" t="n">
        <v>1414</v>
      </c>
      <c r="H55" s="2" t="n">
        <v>1544</v>
      </c>
      <c r="I55" s="2" t="n">
        <v>1607</v>
      </c>
      <c r="J55" s="2" t="n">
        <v>459</v>
      </c>
      <c r="K55" s="2" t="n">
        <v>3034</v>
      </c>
      <c r="L55" s="2" t="n">
        <v>1114</v>
      </c>
      <c r="M55" s="2" t="n">
        <v>164</v>
      </c>
      <c r="N55" s="2" t="n">
        <v>2073</v>
      </c>
      <c r="O55" s="2" t="n">
        <v>2205</v>
      </c>
      <c r="Q55" s="2" t="n">
        <f aca="false">F55+G55+H55</f>
        <v>3442</v>
      </c>
    </row>
    <row r="56" customFormat="false" ht="12.8" hidden="false" customHeight="false" outlineLevel="0" collapsed="false">
      <c r="A56" s="2" t="s">
        <v>228</v>
      </c>
      <c r="B56" s="2" t="s">
        <v>211</v>
      </c>
      <c r="C56" s="2" t="s">
        <v>213</v>
      </c>
      <c r="D56" s="2" t="n">
        <v>2533</v>
      </c>
      <c r="E56" s="2" t="n">
        <v>96</v>
      </c>
      <c r="F56" s="2" t="n">
        <v>466</v>
      </c>
      <c r="G56" s="2" t="n">
        <v>2385</v>
      </c>
      <c r="H56" s="2" t="n">
        <v>1684</v>
      </c>
      <c r="I56" s="2" t="n">
        <v>1805</v>
      </c>
      <c r="J56" s="2" t="n">
        <v>511</v>
      </c>
      <c r="K56" s="2" t="n">
        <v>4392</v>
      </c>
      <c r="L56" s="2" t="n">
        <v>979</v>
      </c>
      <c r="M56" s="2" t="n">
        <v>122</v>
      </c>
      <c r="N56" s="2" t="n">
        <v>3168</v>
      </c>
      <c r="O56" s="2" t="n">
        <v>3327</v>
      </c>
      <c r="Q56" s="2" t="n">
        <f aca="false">F56+G56+H56</f>
        <v>4535</v>
      </c>
    </row>
    <row r="57" customFormat="false" ht="12.8" hidden="false" customHeight="false" outlineLevel="0" collapsed="false">
      <c r="A57" s="2" t="s">
        <v>228</v>
      </c>
      <c r="B57" s="2" t="s">
        <v>211</v>
      </c>
      <c r="C57" s="2" t="s">
        <v>214</v>
      </c>
      <c r="D57" s="2" t="n">
        <v>2449</v>
      </c>
      <c r="E57" s="2" t="n">
        <v>105</v>
      </c>
      <c r="F57" s="2" t="n">
        <v>550</v>
      </c>
      <c r="G57" s="2" t="n">
        <v>2301</v>
      </c>
      <c r="H57" s="2" t="n">
        <v>1815</v>
      </c>
      <c r="I57" s="2" t="n">
        <v>1694</v>
      </c>
      <c r="J57" s="2" t="n">
        <v>584</v>
      </c>
      <c r="K57" s="2" t="n">
        <v>4275</v>
      </c>
      <c r="L57" s="2" t="n">
        <v>1056</v>
      </c>
      <c r="M57" s="2" t="n">
        <v>205</v>
      </c>
      <c r="N57" s="2" t="n">
        <v>3234</v>
      </c>
      <c r="O57" s="2" t="n">
        <v>2507</v>
      </c>
      <c r="Q57" s="2" t="n">
        <f aca="false">F57+G57+H57</f>
        <v>4666</v>
      </c>
    </row>
    <row r="58" customFormat="false" ht="12.8" hidden="false" customHeight="false" outlineLevel="0" collapsed="false">
      <c r="A58" s="2" t="s">
        <v>228</v>
      </c>
      <c r="B58" s="2" t="s">
        <v>211</v>
      </c>
      <c r="C58" s="2" t="s">
        <v>215</v>
      </c>
      <c r="D58" s="2" t="n">
        <v>2225</v>
      </c>
      <c r="E58" s="2" t="n">
        <v>95</v>
      </c>
      <c r="F58" s="2" t="n">
        <v>461</v>
      </c>
      <c r="G58" s="2" t="n">
        <v>1960</v>
      </c>
      <c r="H58" s="2" t="n">
        <v>1840</v>
      </c>
      <c r="I58" s="2" t="n">
        <v>1616</v>
      </c>
      <c r="J58" s="2" t="n">
        <v>466</v>
      </c>
      <c r="K58" s="2" t="n">
        <v>3884</v>
      </c>
      <c r="L58" s="2" t="n">
        <v>991</v>
      </c>
      <c r="M58" s="2" t="n">
        <v>236</v>
      </c>
      <c r="N58" s="2" t="n">
        <v>2955</v>
      </c>
      <c r="O58" s="2" t="n">
        <v>2628</v>
      </c>
      <c r="Q58" s="2" t="n">
        <f aca="false">F58+G58+H58</f>
        <v>4261</v>
      </c>
    </row>
    <row r="59" customFormat="false" ht="12.8" hidden="false" customHeight="false" outlineLevel="0" collapsed="false">
      <c r="A59" s="2" t="s">
        <v>228</v>
      </c>
      <c r="B59" s="2" t="s">
        <v>211</v>
      </c>
      <c r="C59" s="2" t="s">
        <v>216</v>
      </c>
      <c r="D59" s="2" t="n">
        <v>2272</v>
      </c>
      <c r="E59" s="2" t="n">
        <v>94</v>
      </c>
      <c r="F59" s="2" t="n">
        <v>602</v>
      </c>
      <c r="G59" s="2" t="n">
        <v>1931</v>
      </c>
      <c r="H59" s="2" t="n">
        <v>2001</v>
      </c>
      <c r="I59" s="2" t="n">
        <v>1715</v>
      </c>
      <c r="J59" s="2" t="n">
        <v>537</v>
      </c>
      <c r="K59" s="2" t="n">
        <v>4056</v>
      </c>
      <c r="L59" s="2" t="n">
        <v>1124</v>
      </c>
      <c r="M59" s="2" t="n">
        <v>211</v>
      </c>
      <c r="N59" s="2" t="n">
        <v>2935</v>
      </c>
      <c r="O59" s="2" t="n">
        <v>2471</v>
      </c>
      <c r="Q59" s="2" t="n">
        <f aca="false">F59+G59+H59</f>
        <v>4534</v>
      </c>
    </row>
    <row r="60" customFormat="false" ht="12.8" hidden="false" customHeight="false" outlineLevel="0" collapsed="false">
      <c r="A60" s="2" t="s">
        <v>228</v>
      </c>
      <c r="B60" s="2" t="s">
        <v>211</v>
      </c>
      <c r="C60" s="2" t="s">
        <v>217</v>
      </c>
      <c r="D60" s="2" t="n">
        <v>2800</v>
      </c>
      <c r="E60" s="2" t="n">
        <v>69</v>
      </c>
      <c r="F60" s="2" t="n">
        <v>521</v>
      </c>
      <c r="G60" s="2" t="n">
        <v>1629</v>
      </c>
      <c r="H60" s="2" t="n">
        <v>1858</v>
      </c>
      <c r="I60" s="2" t="n">
        <v>1752</v>
      </c>
      <c r="J60" s="2" t="n">
        <v>464</v>
      </c>
      <c r="K60" s="2" t="n">
        <v>3468</v>
      </c>
      <c r="L60" s="2" t="n">
        <v>1196</v>
      </c>
      <c r="M60" s="2" t="n">
        <v>151</v>
      </c>
      <c r="N60" s="2" t="n">
        <v>2467</v>
      </c>
      <c r="O60" s="2" t="n">
        <v>2741</v>
      </c>
      <c r="Q60" s="2" t="n">
        <f aca="false">F60+G60+H60</f>
        <v>4008</v>
      </c>
    </row>
    <row r="61" customFormat="false" ht="12.8" hidden="false" customHeight="false" outlineLevel="0" collapsed="false">
      <c r="A61" s="2" t="s">
        <v>228</v>
      </c>
      <c r="B61" s="2" t="s">
        <v>211</v>
      </c>
      <c r="C61" s="2" t="s">
        <v>218</v>
      </c>
      <c r="D61" s="2" t="n">
        <v>2554</v>
      </c>
      <c r="E61" s="2" t="n">
        <v>85</v>
      </c>
      <c r="F61" s="2" t="n">
        <v>529</v>
      </c>
      <c r="G61" s="2" t="n">
        <v>1598</v>
      </c>
      <c r="H61" s="2" t="n">
        <v>1803</v>
      </c>
      <c r="I61" s="2" t="n">
        <v>1651</v>
      </c>
      <c r="J61" s="2" t="n">
        <v>492</v>
      </c>
      <c r="K61" s="2" t="n">
        <v>3273</v>
      </c>
      <c r="L61" s="2" t="n">
        <v>1262</v>
      </c>
      <c r="M61" s="2" t="n">
        <v>225</v>
      </c>
      <c r="N61" s="2" t="n">
        <v>2426</v>
      </c>
      <c r="O61" s="2" t="n">
        <v>2300</v>
      </c>
      <c r="Q61" s="2" t="n">
        <f aca="false">F61+G61+H61</f>
        <v>3930</v>
      </c>
    </row>
    <row r="62" customFormat="false" ht="12.8" hidden="false" customHeight="false" outlineLevel="0" collapsed="false">
      <c r="A62" s="2" t="s">
        <v>228</v>
      </c>
      <c r="B62" s="2" t="s">
        <v>211</v>
      </c>
      <c r="C62" s="2" t="s">
        <v>219</v>
      </c>
      <c r="D62" s="2" t="n">
        <v>2345</v>
      </c>
      <c r="E62" s="2" t="n">
        <v>70</v>
      </c>
      <c r="F62" s="2" t="n">
        <v>544</v>
      </c>
      <c r="G62" s="2" t="n">
        <v>1482</v>
      </c>
      <c r="H62" s="2" t="n">
        <v>1662</v>
      </c>
      <c r="I62" s="2" t="n">
        <v>1473</v>
      </c>
      <c r="J62" s="2" t="n">
        <v>507</v>
      </c>
      <c r="K62" s="2" t="n">
        <v>3109</v>
      </c>
      <c r="L62" s="2" t="n">
        <v>1164</v>
      </c>
      <c r="M62" s="2" t="n">
        <v>155</v>
      </c>
      <c r="N62" s="2" t="n">
        <v>2127</v>
      </c>
      <c r="O62" s="2" t="n">
        <v>2079</v>
      </c>
      <c r="Q62" s="2" t="n">
        <f aca="false">F62+G62+H62</f>
        <v>3688</v>
      </c>
    </row>
    <row r="63" customFormat="false" ht="12.8" hidden="false" customHeight="false" outlineLevel="0" collapsed="false">
      <c r="A63" s="2" t="s">
        <v>228</v>
      </c>
      <c r="B63" s="2" t="s">
        <v>211</v>
      </c>
      <c r="C63" s="2" t="s">
        <v>220</v>
      </c>
      <c r="D63" s="2" t="n">
        <v>2071</v>
      </c>
      <c r="E63" s="2" t="n">
        <v>80</v>
      </c>
      <c r="F63" s="2" t="n">
        <v>520</v>
      </c>
      <c r="G63" s="2" t="n">
        <v>1413</v>
      </c>
      <c r="H63" s="2" t="n">
        <v>1507</v>
      </c>
      <c r="I63" s="2" t="n">
        <v>1439</v>
      </c>
      <c r="J63" s="2" t="n">
        <v>336</v>
      </c>
      <c r="K63" s="2" t="n">
        <v>2982</v>
      </c>
      <c r="L63" s="2" t="n">
        <v>927</v>
      </c>
      <c r="M63" s="2" t="n">
        <v>193</v>
      </c>
      <c r="N63" s="2" t="n">
        <v>1972</v>
      </c>
      <c r="O63" s="2" t="n">
        <v>1931</v>
      </c>
      <c r="Q63" s="2" t="n">
        <f aca="false">F63+G63+H63</f>
        <v>3440</v>
      </c>
    </row>
    <row r="64" customFormat="false" ht="12.8" hidden="false" customHeight="false" outlineLevel="0" collapsed="false">
      <c r="A64" s="2" t="s">
        <v>228</v>
      </c>
      <c r="B64" s="2" t="s">
        <v>211</v>
      </c>
      <c r="C64" s="2" t="s">
        <v>221</v>
      </c>
      <c r="D64" s="2" t="n">
        <v>2269</v>
      </c>
      <c r="E64" s="2" t="n">
        <v>92</v>
      </c>
      <c r="F64" s="2" t="n">
        <v>445</v>
      </c>
      <c r="G64" s="2" t="n">
        <v>1580</v>
      </c>
      <c r="H64" s="2" t="n">
        <v>1601</v>
      </c>
      <c r="I64" s="2" t="n">
        <v>1622</v>
      </c>
      <c r="J64" s="2" t="n">
        <v>288</v>
      </c>
      <c r="K64" s="2" t="n">
        <v>3098</v>
      </c>
      <c r="L64" s="2" t="n">
        <v>1193</v>
      </c>
      <c r="M64" s="2" t="n">
        <v>162</v>
      </c>
      <c r="N64" s="2" t="n">
        <v>2033</v>
      </c>
      <c r="O64" s="2" t="n">
        <v>2430</v>
      </c>
      <c r="Q64" s="2" t="n">
        <f aca="false">F64+G64+H64</f>
        <v>3626</v>
      </c>
    </row>
    <row r="65" customFormat="false" ht="12.8" hidden="false" customHeight="false" outlineLevel="0" collapsed="false">
      <c r="A65" s="2" t="s">
        <v>228</v>
      </c>
      <c r="B65" s="2" t="s">
        <v>211</v>
      </c>
      <c r="C65" s="2" t="s">
        <v>222</v>
      </c>
      <c r="D65" s="2" t="n">
        <v>2405</v>
      </c>
      <c r="E65" s="2" t="n">
        <v>96</v>
      </c>
      <c r="F65" s="2" t="n">
        <v>574</v>
      </c>
      <c r="G65" s="2" t="n">
        <v>1765</v>
      </c>
      <c r="H65" s="2" t="n">
        <v>1679</v>
      </c>
      <c r="I65" s="2" t="n">
        <v>1756</v>
      </c>
      <c r="J65" s="2" t="n">
        <v>518</v>
      </c>
      <c r="K65" s="2" t="n">
        <v>3721</v>
      </c>
      <c r="L65" s="2" t="n">
        <v>1034</v>
      </c>
      <c r="M65" s="2" t="n">
        <v>217</v>
      </c>
      <c r="N65" s="2" t="n">
        <v>2324</v>
      </c>
      <c r="O65" s="2" t="n">
        <v>2740</v>
      </c>
      <c r="Q65" s="2" t="n">
        <f aca="false">F65+G65+H65</f>
        <v>4018</v>
      </c>
    </row>
    <row r="66" customFormat="false" ht="12.8" hidden="false" customHeight="false" outlineLevel="0" collapsed="false">
      <c r="A66" s="2" t="s">
        <v>228</v>
      </c>
      <c r="B66" s="2" t="s">
        <v>211</v>
      </c>
      <c r="C66" s="2" t="s">
        <v>223</v>
      </c>
      <c r="D66" s="2" t="n">
        <v>2230</v>
      </c>
      <c r="E66" s="2" t="n">
        <v>81</v>
      </c>
      <c r="F66" s="2" t="n">
        <v>523</v>
      </c>
      <c r="G66" s="2" t="n">
        <v>1926</v>
      </c>
      <c r="H66" s="2" t="n">
        <v>1567</v>
      </c>
      <c r="I66" s="2" t="n">
        <v>1701</v>
      </c>
      <c r="J66" s="2" t="n">
        <v>567</v>
      </c>
      <c r="K66" s="2" t="n">
        <v>3685</v>
      </c>
      <c r="L66" s="2" t="n">
        <v>1045</v>
      </c>
      <c r="M66" s="2" t="n">
        <v>185</v>
      </c>
      <c r="N66" s="2" t="n">
        <v>2563</v>
      </c>
      <c r="O66" s="2" t="n">
        <v>2643</v>
      </c>
      <c r="Q66" s="2" t="n">
        <f aca="false">F66+G66+H66</f>
        <v>4016</v>
      </c>
    </row>
    <row r="67" customFormat="false" ht="12.8" hidden="false" customHeight="false" outlineLevel="0" collapsed="false">
      <c r="A67" s="2" t="s">
        <v>228</v>
      </c>
      <c r="B67" s="2" t="s">
        <v>211</v>
      </c>
      <c r="C67" s="2" t="s">
        <v>224</v>
      </c>
      <c r="D67" s="2" t="n">
        <v>2227</v>
      </c>
      <c r="E67" s="2" t="n">
        <v>78</v>
      </c>
      <c r="F67" s="2" t="n">
        <v>527</v>
      </c>
      <c r="G67" s="2" t="n">
        <v>2036</v>
      </c>
      <c r="H67" s="2" t="n">
        <v>1629</v>
      </c>
      <c r="I67" s="2" t="n">
        <v>1756</v>
      </c>
      <c r="J67" s="2" t="n">
        <v>594</v>
      </c>
      <c r="K67" s="2" t="n">
        <v>3860</v>
      </c>
      <c r="L67" s="2" t="n">
        <v>1027</v>
      </c>
      <c r="M67" s="2" t="n">
        <v>162</v>
      </c>
      <c r="N67" s="2" t="n">
        <v>2744</v>
      </c>
      <c r="O67" s="2" t="n">
        <v>2674</v>
      </c>
      <c r="Q67" s="2" t="n">
        <f aca="false">F67+G67+H67</f>
        <v>4192</v>
      </c>
    </row>
    <row r="68" customFormat="false" ht="12.8" hidden="false" customHeight="false" outlineLevel="0" collapsed="false">
      <c r="A68" s="2" t="s">
        <v>229</v>
      </c>
      <c r="B68" s="2" t="s">
        <v>211</v>
      </c>
      <c r="C68" s="2" t="s">
        <v>212</v>
      </c>
      <c r="D68" s="2" t="n">
        <v>282</v>
      </c>
      <c r="E68" s="2" t="n">
        <v>5</v>
      </c>
      <c r="F68" s="2" t="n">
        <v>0</v>
      </c>
      <c r="G68" s="2" t="n">
        <v>218</v>
      </c>
      <c r="H68" s="2" t="n">
        <v>71</v>
      </c>
      <c r="I68" s="2" t="n">
        <v>34</v>
      </c>
      <c r="J68" s="2" t="n">
        <v>7</v>
      </c>
      <c r="K68" s="2" t="n">
        <v>314</v>
      </c>
      <c r="L68" s="2" t="n">
        <v>0</v>
      </c>
      <c r="M68" s="2" t="n">
        <v>0</v>
      </c>
      <c r="N68" s="2" t="n">
        <v>144</v>
      </c>
      <c r="O68" s="2" t="n">
        <v>305</v>
      </c>
      <c r="Q68" s="2" t="n">
        <f aca="false">F68+G68+H68</f>
        <v>289</v>
      </c>
    </row>
    <row r="69" customFormat="false" ht="12.8" hidden="false" customHeight="false" outlineLevel="0" collapsed="false">
      <c r="A69" s="2" t="s">
        <v>229</v>
      </c>
      <c r="B69" s="2" t="s">
        <v>211</v>
      </c>
      <c r="C69" s="2" t="s">
        <v>213</v>
      </c>
      <c r="D69" s="2" t="n">
        <v>841</v>
      </c>
      <c r="E69" s="2" t="n">
        <v>26</v>
      </c>
      <c r="F69" s="2" t="n">
        <v>0</v>
      </c>
      <c r="G69" s="2" t="n">
        <v>679</v>
      </c>
      <c r="H69" s="2" t="n">
        <v>393</v>
      </c>
      <c r="I69" s="2" t="n">
        <v>254</v>
      </c>
      <c r="J69" s="2" t="n">
        <v>15</v>
      </c>
      <c r="K69" s="2" t="n">
        <v>1127</v>
      </c>
      <c r="L69" s="2" t="n">
        <v>0</v>
      </c>
      <c r="M69" s="2" t="n">
        <v>0</v>
      </c>
      <c r="N69" s="2" t="n">
        <v>837</v>
      </c>
      <c r="O69" s="2" t="n">
        <v>1147</v>
      </c>
      <c r="Q69" s="2" t="n">
        <f aca="false">F69+G69+H69</f>
        <v>1072</v>
      </c>
    </row>
    <row r="70" customFormat="false" ht="12.8" hidden="false" customHeight="false" outlineLevel="0" collapsed="false">
      <c r="A70" s="2" t="s">
        <v>229</v>
      </c>
      <c r="B70" s="2" t="s">
        <v>211</v>
      </c>
      <c r="C70" s="2" t="s">
        <v>214</v>
      </c>
      <c r="D70" s="2" t="n">
        <v>921</v>
      </c>
      <c r="E70" s="2" t="n">
        <v>28</v>
      </c>
      <c r="F70" s="2" t="n">
        <v>0</v>
      </c>
      <c r="G70" s="2" t="n">
        <v>704</v>
      </c>
      <c r="H70" s="2" t="n">
        <v>440</v>
      </c>
      <c r="I70" s="2" t="n">
        <v>240</v>
      </c>
      <c r="J70" s="2" t="n">
        <v>13</v>
      </c>
      <c r="K70" s="2" t="n">
        <v>1211</v>
      </c>
      <c r="L70" s="2" t="n">
        <v>0</v>
      </c>
      <c r="M70" s="2" t="n">
        <v>0</v>
      </c>
      <c r="N70" s="2" t="n">
        <v>798</v>
      </c>
      <c r="O70" s="2" t="n">
        <v>1236</v>
      </c>
      <c r="Q70" s="2" t="n">
        <f aca="false">F70+G70+H70</f>
        <v>1144</v>
      </c>
    </row>
    <row r="71" customFormat="false" ht="12.8" hidden="false" customHeight="false" outlineLevel="0" collapsed="false">
      <c r="A71" s="2" t="s">
        <v>229</v>
      </c>
      <c r="B71" s="2" t="s">
        <v>211</v>
      </c>
      <c r="C71" s="2" t="s">
        <v>215</v>
      </c>
      <c r="D71" s="2" t="n">
        <v>1027</v>
      </c>
      <c r="E71" s="2" t="n">
        <v>33</v>
      </c>
      <c r="F71" s="2" t="n">
        <v>0</v>
      </c>
      <c r="G71" s="2" t="n">
        <v>820</v>
      </c>
      <c r="H71" s="2" t="n">
        <v>451</v>
      </c>
      <c r="I71" s="2" t="n">
        <v>163</v>
      </c>
      <c r="J71" s="2" t="n">
        <v>85</v>
      </c>
      <c r="K71" s="2" t="n">
        <v>1352</v>
      </c>
      <c r="L71" s="2" t="n">
        <v>0</v>
      </c>
      <c r="M71" s="2" t="n">
        <v>0</v>
      </c>
      <c r="N71" s="2" t="n">
        <v>929</v>
      </c>
      <c r="O71" s="2" t="n">
        <v>1296</v>
      </c>
      <c r="Q71" s="2" t="n">
        <f aca="false">F71+G71+H71</f>
        <v>1271</v>
      </c>
    </row>
    <row r="72" customFormat="false" ht="12.8" hidden="false" customHeight="false" outlineLevel="0" collapsed="false">
      <c r="A72" s="2" t="s">
        <v>229</v>
      </c>
      <c r="B72" s="2" t="s">
        <v>211</v>
      </c>
      <c r="C72" s="2" t="s">
        <v>216</v>
      </c>
      <c r="D72" s="2" t="n">
        <v>1096</v>
      </c>
      <c r="E72" s="2" t="n">
        <v>35</v>
      </c>
      <c r="F72" s="2" t="n">
        <v>0</v>
      </c>
      <c r="G72" s="2" t="n">
        <v>855</v>
      </c>
      <c r="H72" s="2" t="n">
        <v>515</v>
      </c>
      <c r="I72" s="2" t="n">
        <v>290</v>
      </c>
      <c r="J72" s="2" t="n">
        <v>50</v>
      </c>
      <c r="K72" s="2" t="n">
        <v>1461</v>
      </c>
      <c r="L72" s="2" t="n">
        <v>0</v>
      </c>
      <c r="M72" s="2" t="n">
        <v>0</v>
      </c>
      <c r="N72" s="2" t="n">
        <v>846</v>
      </c>
      <c r="O72" s="2" t="n">
        <v>1500</v>
      </c>
      <c r="Q72" s="2" t="n">
        <f aca="false">F72+G72+H72</f>
        <v>1370</v>
      </c>
    </row>
    <row r="73" customFormat="false" ht="12.8" hidden="false" customHeight="false" outlineLevel="0" collapsed="false">
      <c r="A73" s="2" t="s">
        <v>229</v>
      </c>
      <c r="B73" s="2" t="s">
        <v>211</v>
      </c>
      <c r="C73" s="2" t="s">
        <v>217</v>
      </c>
      <c r="D73" s="2" t="n">
        <v>484</v>
      </c>
      <c r="E73" s="2" t="n">
        <v>12</v>
      </c>
      <c r="F73" s="2" t="n">
        <v>0</v>
      </c>
      <c r="G73" s="2" t="n">
        <v>346</v>
      </c>
      <c r="H73" s="2" t="n">
        <v>159</v>
      </c>
      <c r="I73" s="2" t="n">
        <v>117</v>
      </c>
      <c r="J73" s="2" t="n">
        <v>10</v>
      </c>
      <c r="K73" s="2" t="n">
        <v>542</v>
      </c>
      <c r="L73" s="2" t="n">
        <v>0</v>
      </c>
      <c r="M73" s="2" t="n">
        <v>0</v>
      </c>
      <c r="N73" s="2" t="n">
        <v>244</v>
      </c>
      <c r="O73" s="2" t="n">
        <v>613</v>
      </c>
      <c r="Q73" s="2" t="n">
        <f aca="false">F73+G73+H73</f>
        <v>505</v>
      </c>
    </row>
    <row r="74" customFormat="false" ht="12.8" hidden="false" customHeight="false" outlineLevel="0" collapsed="false">
      <c r="A74" s="2" t="s">
        <v>229</v>
      </c>
      <c r="B74" s="2" t="s">
        <v>211</v>
      </c>
      <c r="C74" s="2" t="s">
        <v>218</v>
      </c>
      <c r="D74" s="2" t="n">
        <v>551</v>
      </c>
      <c r="E74" s="2" t="n">
        <v>11</v>
      </c>
      <c r="F74" s="2" t="n">
        <v>0</v>
      </c>
      <c r="G74" s="2" t="n">
        <v>394</v>
      </c>
      <c r="H74" s="2" t="n">
        <v>244</v>
      </c>
      <c r="I74" s="2" t="n">
        <v>180</v>
      </c>
      <c r="J74" s="2" t="n">
        <v>82</v>
      </c>
      <c r="K74" s="2" t="n">
        <v>642</v>
      </c>
      <c r="L74" s="2" t="n">
        <v>0</v>
      </c>
      <c r="M74" s="2" t="n">
        <v>0</v>
      </c>
      <c r="N74" s="2" t="n">
        <v>351</v>
      </c>
      <c r="O74" s="2" t="n">
        <v>832</v>
      </c>
      <c r="Q74" s="2" t="n">
        <f aca="false">F74+G74+H74</f>
        <v>638</v>
      </c>
    </row>
    <row r="75" customFormat="false" ht="12.8" hidden="false" customHeight="false" outlineLevel="0" collapsed="false">
      <c r="A75" s="2" t="s">
        <v>229</v>
      </c>
      <c r="B75" s="2" t="s">
        <v>211</v>
      </c>
      <c r="C75" s="2" t="s">
        <v>219</v>
      </c>
      <c r="D75" s="2" t="n">
        <v>650</v>
      </c>
      <c r="E75" s="2" t="n">
        <v>15</v>
      </c>
      <c r="F75" s="2" t="n">
        <v>0</v>
      </c>
      <c r="G75" s="2" t="n">
        <v>478</v>
      </c>
      <c r="H75" s="2" t="n">
        <v>242</v>
      </c>
      <c r="I75" s="2" t="n">
        <v>98</v>
      </c>
      <c r="J75" s="2" t="n">
        <v>70</v>
      </c>
      <c r="K75" s="2" t="n">
        <v>740</v>
      </c>
      <c r="L75" s="2" t="n">
        <v>0</v>
      </c>
      <c r="M75" s="2" t="n">
        <v>0</v>
      </c>
      <c r="N75" s="2" t="n">
        <v>433</v>
      </c>
      <c r="O75" s="2" t="n">
        <v>817</v>
      </c>
      <c r="Q75" s="2" t="n">
        <f aca="false">F75+G75+H75</f>
        <v>720</v>
      </c>
    </row>
    <row r="76" customFormat="false" ht="12.8" hidden="false" customHeight="false" outlineLevel="0" collapsed="false">
      <c r="A76" s="2" t="s">
        <v>229</v>
      </c>
      <c r="B76" s="2" t="s">
        <v>211</v>
      </c>
      <c r="C76" s="2" t="s">
        <v>220</v>
      </c>
      <c r="D76" s="2" t="n">
        <v>700</v>
      </c>
      <c r="E76" s="2" t="n">
        <v>26</v>
      </c>
      <c r="F76" s="2" t="n">
        <v>0</v>
      </c>
      <c r="G76" s="2" t="n">
        <v>521</v>
      </c>
      <c r="H76" s="2" t="n">
        <v>332</v>
      </c>
      <c r="I76" s="2" t="n">
        <v>226</v>
      </c>
      <c r="J76" s="2" t="n">
        <v>106</v>
      </c>
      <c r="K76" s="2" t="n">
        <v>855</v>
      </c>
      <c r="L76" s="2" t="n">
        <v>0</v>
      </c>
      <c r="M76" s="2" t="n">
        <v>0</v>
      </c>
      <c r="N76" s="2" t="n">
        <v>564</v>
      </c>
      <c r="O76" s="2" t="n">
        <v>1061</v>
      </c>
      <c r="Q76" s="2" t="n">
        <f aca="false">F76+G76+H76</f>
        <v>853</v>
      </c>
    </row>
    <row r="77" customFormat="false" ht="12.8" hidden="false" customHeight="false" outlineLevel="0" collapsed="false">
      <c r="A77" s="2" t="s">
        <v>229</v>
      </c>
      <c r="B77" s="2" t="s">
        <v>211</v>
      </c>
      <c r="C77" s="2" t="s">
        <v>221</v>
      </c>
      <c r="D77" s="2" t="n">
        <v>746</v>
      </c>
      <c r="E77" s="2" t="n">
        <v>21</v>
      </c>
      <c r="F77" s="2" t="n">
        <v>0</v>
      </c>
      <c r="G77" s="2" t="n">
        <v>538</v>
      </c>
      <c r="H77" s="2" t="n">
        <v>399</v>
      </c>
      <c r="I77" s="2" t="n">
        <v>306</v>
      </c>
      <c r="J77" s="2" t="n">
        <v>38</v>
      </c>
      <c r="K77" s="2" t="n">
        <v>945</v>
      </c>
      <c r="L77" s="2" t="n">
        <v>0</v>
      </c>
      <c r="M77" s="2" t="n">
        <v>0</v>
      </c>
      <c r="N77" s="2" t="n">
        <v>553</v>
      </c>
      <c r="O77" s="2" t="n">
        <v>1154</v>
      </c>
      <c r="Q77" s="2" t="n">
        <f aca="false">F77+G77+H77</f>
        <v>937</v>
      </c>
    </row>
    <row r="78" customFormat="false" ht="12.8" hidden="false" customHeight="false" outlineLevel="0" collapsed="false">
      <c r="A78" s="2" t="s">
        <v>229</v>
      </c>
      <c r="B78" s="2" t="s">
        <v>211</v>
      </c>
      <c r="C78" s="2" t="s">
        <v>222</v>
      </c>
      <c r="D78" s="2" t="n">
        <v>755</v>
      </c>
      <c r="E78" s="2" t="n">
        <v>30</v>
      </c>
      <c r="F78" s="2" t="n">
        <v>0</v>
      </c>
      <c r="G78" s="2" t="n">
        <v>543</v>
      </c>
      <c r="H78" s="2" t="n">
        <v>407</v>
      </c>
      <c r="I78" s="2" t="n">
        <v>313</v>
      </c>
      <c r="J78" s="2" t="n">
        <v>46</v>
      </c>
      <c r="K78" s="2" t="n">
        <v>1014</v>
      </c>
      <c r="L78" s="2" t="n">
        <v>0</v>
      </c>
      <c r="M78" s="2" t="n">
        <v>0</v>
      </c>
      <c r="N78" s="2" t="n">
        <v>527</v>
      </c>
      <c r="O78" s="2" t="n">
        <v>1219</v>
      </c>
      <c r="Q78" s="2" t="n">
        <f aca="false">F78+G78+H78</f>
        <v>950</v>
      </c>
    </row>
    <row r="79" customFormat="false" ht="12.8" hidden="false" customHeight="false" outlineLevel="0" collapsed="false">
      <c r="A79" s="2" t="s">
        <v>229</v>
      </c>
      <c r="B79" s="2" t="s">
        <v>211</v>
      </c>
      <c r="C79" s="2" t="s">
        <v>223</v>
      </c>
      <c r="D79" s="2" t="n">
        <v>756</v>
      </c>
      <c r="E79" s="2" t="n">
        <v>17</v>
      </c>
      <c r="F79" s="2" t="n">
        <v>0</v>
      </c>
      <c r="G79" s="2" t="n">
        <v>598</v>
      </c>
      <c r="H79" s="2" t="n">
        <v>318</v>
      </c>
      <c r="I79" s="2" t="n">
        <v>232</v>
      </c>
      <c r="J79" s="2" t="n">
        <v>43</v>
      </c>
      <c r="K79" s="2" t="n">
        <v>970</v>
      </c>
      <c r="L79" s="2" t="n">
        <v>0</v>
      </c>
      <c r="M79" s="2" t="n">
        <v>0</v>
      </c>
      <c r="N79" s="2" t="n">
        <v>618</v>
      </c>
      <c r="O79" s="2" t="n">
        <v>1107</v>
      </c>
      <c r="Q79" s="2" t="n">
        <f aca="false">F79+G79+H79</f>
        <v>916</v>
      </c>
    </row>
    <row r="80" customFormat="false" ht="12.8" hidden="false" customHeight="false" outlineLevel="0" collapsed="false">
      <c r="A80" s="2" t="s">
        <v>229</v>
      </c>
      <c r="B80" s="2" t="s">
        <v>211</v>
      </c>
      <c r="C80" s="2" t="s">
        <v>224</v>
      </c>
      <c r="D80" s="2" t="n">
        <v>815</v>
      </c>
      <c r="E80" s="2" t="n">
        <v>20</v>
      </c>
      <c r="F80" s="2" t="n">
        <v>0</v>
      </c>
      <c r="G80" s="2" t="n">
        <v>626</v>
      </c>
      <c r="H80" s="2" t="n">
        <v>328</v>
      </c>
      <c r="I80" s="2" t="n">
        <v>238</v>
      </c>
      <c r="J80" s="2" t="n">
        <v>0</v>
      </c>
      <c r="K80" s="2" t="n">
        <v>1037</v>
      </c>
      <c r="L80" s="2" t="n">
        <v>0</v>
      </c>
      <c r="M80" s="2" t="n">
        <v>0</v>
      </c>
      <c r="N80" s="2" t="n">
        <v>651</v>
      </c>
      <c r="O80" s="2" t="n">
        <v>1057</v>
      </c>
      <c r="Q80" s="2" t="n">
        <f aca="false">F80+G80+H80</f>
        <v>954</v>
      </c>
    </row>
    <row r="81" customFormat="false" ht="12.8" hidden="false" customHeight="false" outlineLevel="0" collapsed="false">
      <c r="A81" s="2" t="s">
        <v>230</v>
      </c>
      <c r="B81" s="2" t="s">
        <v>211</v>
      </c>
      <c r="C81" s="2" t="s">
        <v>212</v>
      </c>
      <c r="D81" s="2" t="n">
        <v>27</v>
      </c>
      <c r="E81" s="2" t="n">
        <v>1</v>
      </c>
      <c r="F81" s="2" t="n">
        <v>3</v>
      </c>
      <c r="G81" s="2" t="n">
        <v>13</v>
      </c>
      <c r="H81" s="2" t="n">
        <v>11</v>
      </c>
      <c r="I81" s="2" t="n">
        <v>6</v>
      </c>
      <c r="J81" s="2" t="n">
        <v>11</v>
      </c>
      <c r="K81" s="2" t="n">
        <v>21</v>
      </c>
      <c r="L81" s="2" t="n">
        <v>5</v>
      </c>
      <c r="M81" s="2" t="n">
        <v>0</v>
      </c>
      <c r="N81" s="2" t="n">
        <v>3</v>
      </c>
      <c r="O81" s="2" t="n">
        <v>28</v>
      </c>
      <c r="Q81" s="2" t="n">
        <f aca="false">F81+G81+H81</f>
        <v>27</v>
      </c>
    </row>
    <row r="82" customFormat="false" ht="12.8" hidden="false" customHeight="false" outlineLevel="0" collapsed="false">
      <c r="A82" s="2" t="s">
        <v>230</v>
      </c>
      <c r="B82" s="2" t="s">
        <v>211</v>
      </c>
      <c r="C82" s="2" t="s">
        <v>213</v>
      </c>
      <c r="D82" s="2" t="n">
        <v>704</v>
      </c>
      <c r="E82" s="2" t="n">
        <v>16</v>
      </c>
      <c r="F82" s="2" t="n">
        <v>79</v>
      </c>
      <c r="G82" s="2" t="n">
        <v>925</v>
      </c>
      <c r="H82" s="2" t="n">
        <v>331</v>
      </c>
      <c r="I82" s="2" t="n">
        <v>103</v>
      </c>
      <c r="J82" s="2" t="n">
        <v>403</v>
      </c>
      <c r="K82" s="2" t="n">
        <v>951</v>
      </c>
      <c r="L82" s="2" t="n">
        <v>522</v>
      </c>
      <c r="M82" s="2" t="n">
        <v>38</v>
      </c>
      <c r="N82" s="2" t="n">
        <v>438</v>
      </c>
      <c r="O82" s="2" t="n">
        <v>1174</v>
      </c>
      <c r="Q82" s="2" t="n">
        <f aca="false">F82+G82+H82</f>
        <v>1335</v>
      </c>
    </row>
    <row r="83" customFormat="false" ht="12.8" hidden="false" customHeight="false" outlineLevel="0" collapsed="false">
      <c r="A83" s="2" t="s">
        <v>230</v>
      </c>
      <c r="B83" s="2" t="s">
        <v>211</v>
      </c>
      <c r="C83" s="2" t="s">
        <v>214</v>
      </c>
      <c r="D83" s="2" t="n">
        <v>765</v>
      </c>
      <c r="E83" s="2" t="n">
        <v>26</v>
      </c>
      <c r="F83" s="2" t="n">
        <v>108</v>
      </c>
      <c r="G83" s="2" t="n">
        <v>921</v>
      </c>
      <c r="H83" s="2" t="n">
        <v>467</v>
      </c>
      <c r="I83" s="2" t="n">
        <v>105</v>
      </c>
      <c r="J83" s="2" t="n">
        <v>531</v>
      </c>
      <c r="K83" s="2" t="n">
        <v>985</v>
      </c>
      <c r="L83" s="2" t="n">
        <v>708</v>
      </c>
      <c r="M83" s="2" t="n">
        <v>63</v>
      </c>
      <c r="N83" s="2" t="n">
        <v>515</v>
      </c>
      <c r="O83" s="2" t="n">
        <v>1096</v>
      </c>
      <c r="Q83" s="2" t="n">
        <f aca="false">F83+G83+H83</f>
        <v>1496</v>
      </c>
    </row>
    <row r="84" customFormat="false" ht="12.8" hidden="false" customHeight="false" outlineLevel="0" collapsed="false">
      <c r="A84" s="2" t="s">
        <v>230</v>
      </c>
      <c r="B84" s="2" t="s">
        <v>211</v>
      </c>
      <c r="C84" s="2" t="s">
        <v>215</v>
      </c>
      <c r="D84" s="2" t="n">
        <v>715</v>
      </c>
      <c r="E84" s="2" t="n">
        <v>48</v>
      </c>
      <c r="F84" s="2" t="n">
        <v>86</v>
      </c>
      <c r="G84" s="2" t="n">
        <v>917</v>
      </c>
      <c r="H84" s="2" t="n">
        <v>393</v>
      </c>
      <c r="I84" s="2" t="n">
        <v>105</v>
      </c>
      <c r="J84" s="2" t="n">
        <v>423</v>
      </c>
      <c r="K84" s="2" t="n">
        <v>1027</v>
      </c>
      <c r="L84" s="2" t="n">
        <v>556</v>
      </c>
      <c r="M84" s="2" t="n">
        <v>61</v>
      </c>
      <c r="N84" s="2" t="n">
        <v>465</v>
      </c>
      <c r="O84" s="2" t="n">
        <v>849</v>
      </c>
      <c r="Q84" s="2" t="n">
        <f aca="false">F84+G84+H84</f>
        <v>1396</v>
      </c>
    </row>
    <row r="85" customFormat="false" ht="12.8" hidden="false" customHeight="false" outlineLevel="0" collapsed="false">
      <c r="A85" s="2" t="s">
        <v>230</v>
      </c>
      <c r="B85" s="2" t="s">
        <v>211</v>
      </c>
      <c r="C85" s="2" t="s">
        <v>216</v>
      </c>
      <c r="D85" s="2" t="n">
        <v>838</v>
      </c>
      <c r="E85" s="2" t="n">
        <v>46</v>
      </c>
      <c r="F85" s="2" t="n">
        <v>93</v>
      </c>
      <c r="G85" s="2" t="n">
        <v>1014</v>
      </c>
      <c r="H85" s="2" t="n">
        <v>449</v>
      </c>
      <c r="I85" s="2" t="n">
        <v>7</v>
      </c>
      <c r="J85" s="2" t="n">
        <v>544</v>
      </c>
      <c r="K85" s="2" t="n">
        <v>1199</v>
      </c>
      <c r="L85" s="2" t="n">
        <v>588</v>
      </c>
      <c r="M85" s="2" t="n">
        <v>56</v>
      </c>
      <c r="N85" s="2" t="n">
        <v>443</v>
      </c>
      <c r="O85" s="2" t="n">
        <v>931</v>
      </c>
      <c r="Q85" s="2" t="n">
        <f aca="false">F85+G85+H85</f>
        <v>1556</v>
      </c>
    </row>
    <row r="86" customFormat="false" ht="12.8" hidden="false" customHeight="false" outlineLevel="0" collapsed="false">
      <c r="A86" s="2" t="s">
        <v>230</v>
      </c>
      <c r="B86" s="2" t="s">
        <v>211</v>
      </c>
      <c r="C86" s="2" t="s">
        <v>217</v>
      </c>
      <c r="D86" s="2" t="n">
        <v>557</v>
      </c>
      <c r="E86" s="2" t="n">
        <v>9</v>
      </c>
      <c r="F86" s="2" t="n">
        <v>103</v>
      </c>
      <c r="G86" s="2" t="n">
        <v>441</v>
      </c>
      <c r="H86" s="2" t="n">
        <v>184</v>
      </c>
      <c r="I86" s="2" t="n">
        <v>34</v>
      </c>
      <c r="J86" s="2" t="n">
        <v>315</v>
      </c>
      <c r="K86" s="2" t="n">
        <v>551</v>
      </c>
      <c r="L86" s="2" t="n">
        <v>248</v>
      </c>
      <c r="M86" s="2" t="n">
        <v>32</v>
      </c>
      <c r="N86" s="2" t="n">
        <v>120</v>
      </c>
      <c r="O86" s="2" t="n">
        <v>861</v>
      </c>
      <c r="Q86" s="2" t="n">
        <f aca="false">F86+G86+H86</f>
        <v>728</v>
      </c>
    </row>
    <row r="87" customFormat="false" ht="12.8" hidden="false" customHeight="false" outlineLevel="0" collapsed="false">
      <c r="A87" s="2" t="s">
        <v>230</v>
      </c>
      <c r="B87" s="2" t="s">
        <v>211</v>
      </c>
      <c r="C87" s="2" t="s">
        <v>218</v>
      </c>
      <c r="D87" s="2" t="n">
        <v>631</v>
      </c>
      <c r="E87" s="2" t="n">
        <v>19</v>
      </c>
      <c r="F87" s="2" t="n">
        <v>232</v>
      </c>
      <c r="G87" s="2" t="n">
        <v>560</v>
      </c>
      <c r="H87" s="2" t="n">
        <v>218</v>
      </c>
      <c r="I87" s="2" t="n">
        <v>28</v>
      </c>
      <c r="J87" s="2" t="n">
        <v>391</v>
      </c>
      <c r="K87" s="2" t="n">
        <v>663</v>
      </c>
      <c r="L87" s="2" t="n">
        <v>269</v>
      </c>
      <c r="M87" s="2" t="n">
        <v>64</v>
      </c>
      <c r="N87" s="2" t="n">
        <v>270</v>
      </c>
      <c r="O87" s="2" t="n">
        <v>932</v>
      </c>
      <c r="Q87" s="2" t="n">
        <f aca="false">F87+G87+H87</f>
        <v>1010</v>
      </c>
    </row>
    <row r="88" customFormat="false" ht="12.8" hidden="false" customHeight="false" outlineLevel="0" collapsed="false">
      <c r="A88" s="2" t="s">
        <v>230</v>
      </c>
      <c r="B88" s="2" t="s">
        <v>211</v>
      </c>
      <c r="C88" s="2" t="s">
        <v>219</v>
      </c>
      <c r="D88" s="2" t="n">
        <v>565</v>
      </c>
      <c r="E88" s="2" t="n">
        <v>14</v>
      </c>
      <c r="F88" s="2" t="n">
        <v>127</v>
      </c>
      <c r="G88" s="2" t="n">
        <v>610</v>
      </c>
      <c r="H88" s="2" t="n">
        <v>258</v>
      </c>
      <c r="I88" s="2" t="n">
        <v>0</v>
      </c>
      <c r="J88" s="2" t="n">
        <v>403</v>
      </c>
      <c r="K88" s="2" t="n">
        <v>682</v>
      </c>
      <c r="L88" s="2" t="n">
        <v>319</v>
      </c>
      <c r="M88" s="2" t="n">
        <v>48</v>
      </c>
      <c r="N88" s="2" t="n">
        <v>281</v>
      </c>
      <c r="O88" s="2" t="n">
        <v>991</v>
      </c>
      <c r="Q88" s="2" t="n">
        <f aca="false">F88+G88+H88</f>
        <v>995</v>
      </c>
    </row>
    <row r="89" customFormat="false" ht="12.8" hidden="false" customHeight="false" outlineLevel="0" collapsed="false">
      <c r="A89" s="2" t="s">
        <v>230</v>
      </c>
      <c r="B89" s="2" t="s">
        <v>211</v>
      </c>
      <c r="C89" s="2" t="s">
        <v>220</v>
      </c>
      <c r="D89" s="2" t="n">
        <v>520</v>
      </c>
      <c r="E89" s="2" t="n">
        <v>23</v>
      </c>
      <c r="F89" s="2" t="n">
        <v>85</v>
      </c>
      <c r="G89" s="2" t="n">
        <v>565</v>
      </c>
      <c r="H89" s="2" t="n">
        <v>262</v>
      </c>
      <c r="I89" s="2" t="n">
        <v>23</v>
      </c>
      <c r="J89" s="2" t="n">
        <v>370</v>
      </c>
      <c r="K89" s="2" t="n">
        <v>647</v>
      </c>
      <c r="L89" s="2" t="n">
        <v>238</v>
      </c>
      <c r="M89" s="2" t="n">
        <v>38</v>
      </c>
      <c r="N89" s="2" t="n">
        <v>250</v>
      </c>
      <c r="O89" s="2" t="n">
        <v>994</v>
      </c>
      <c r="Q89" s="2" t="n">
        <f aca="false">F89+G89+H89</f>
        <v>912</v>
      </c>
    </row>
    <row r="90" customFormat="false" ht="12.8" hidden="false" customHeight="false" outlineLevel="0" collapsed="false">
      <c r="A90" s="2" t="s">
        <v>230</v>
      </c>
      <c r="B90" s="2" t="s">
        <v>211</v>
      </c>
      <c r="C90" s="2" t="s">
        <v>221</v>
      </c>
      <c r="D90" s="2" t="n">
        <v>433</v>
      </c>
      <c r="E90" s="2" t="n">
        <v>14</v>
      </c>
      <c r="F90" s="2" t="n">
        <v>67</v>
      </c>
      <c r="G90" s="2" t="n">
        <v>494</v>
      </c>
      <c r="H90" s="2" t="n">
        <v>187</v>
      </c>
      <c r="I90" s="2" t="n">
        <v>14</v>
      </c>
      <c r="J90" s="2" t="n">
        <v>292</v>
      </c>
      <c r="K90" s="2" t="n">
        <v>543</v>
      </c>
      <c r="L90" s="2" t="n">
        <v>215</v>
      </c>
      <c r="M90" s="2" t="n">
        <v>36</v>
      </c>
      <c r="N90" s="2" t="n">
        <v>172</v>
      </c>
      <c r="O90" s="2" t="n">
        <v>732</v>
      </c>
      <c r="Q90" s="2" t="n">
        <f aca="false">F90+G90+H90</f>
        <v>748</v>
      </c>
    </row>
    <row r="91" customFormat="false" ht="12.8" hidden="false" customHeight="false" outlineLevel="0" collapsed="false">
      <c r="A91" s="2" t="s">
        <v>230</v>
      </c>
      <c r="B91" s="2" t="s">
        <v>211</v>
      </c>
      <c r="C91" s="2" t="s">
        <v>222</v>
      </c>
      <c r="D91" s="2" t="n">
        <v>515</v>
      </c>
      <c r="E91" s="2" t="n">
        <v>15</v>
      </c>
      <c r="F91" s="2" t="n">
        <v>80</v>
      </c>
      <c r="G91" s="2" t="n">
        <v>576</v>
      </c>
      <c r="H91" s="2" t="n">
        <v>257</v>
      </c>
      <c r="I91" s="2" t="n">
        <v>13</v>
      </c>
      <c r="J91" s="2" t="n">
        <v>313</v>
      </c>
      <c r="K91" s="2" t="n">
        <v>614</v>
      </c>
      <c r="L91" s="2" t="n">
        <v>247</v>
      </c>
      <c r="M91" s="2" t="n">
        <v>58</v>
      </c>
      <c r="N91" s="2" t="n">
        <v>234</v>
      </c>
      <c r="O91" s="2" t="n">
        <v>566</v>
      </c>
      <c r="Q91" s="2" t="n">
        <f aca="false">F91+G91+H91</f>
        <v>913</v>
      </c>
    </row>
    <row r="92" customFormat="false" ht="12.8" hidden="false" customHeight="false" outlineLevel="0" collapsed="false">
      <c r="A92" s="2" t="s">
        <v>230</v>
      </c>
      <c r="B92" s="2" t="s">
        <v>211</v>
      </c>
      <c r="C92" s="2" t="s">
        <v>223</v>
      </c>
      <c r="D92" s="2" t="n">
        <v>606</v>
      </c>
      <c r="E92" s="2" t="n">
        <v>19</v>
      </c>
      <c r="F92" s="2" t="n">
        <v>82</v>
      </c>
      <c r="G92" s="2" t="n">
        <v>636</v>
      </c>
      <c r="H92" s="2" t="n">
        <v>337</v>
      </c>
      <c r="I92" s="2" t="n">
        <v>84</v>
      </c>
      <c r="J92" s="2" t="n">
        <v>342</v>
      </c>
      <c r="K92" s="2" t="n">
        <v>733</v>
      </c>
      <c r="L92" s="2" t="n">
        <v>362</v>
      </c>
      <c r="M92" s="2" t="n">
        <v>68</v>
      </c>
      <c r="N92" s="2" t="n">
        <v>286</v>
      </c>
      <c r="O92" s="2" t="n">
        <v>769</v>
      </c>
      <c r="Q92" s="2" t="n">
        <f aca="false">F92+G92+H92</f>
        <v>1055</v>
      </c>
    </row>
    <row r="93" customFormat="false" ht="12.8" hidden="false" customHeight="false" outlineLevel="0" collapsed="false">
      <c r="A93" s="2" t="s">
        <v>230</v>
      </c>
      <c r="B93" s="2" t="s">
        <v>211</v>
      </c>
      <c r="C93" s="2" t="s">
        <v>224</v>
      </c>
      <c r="D93" s="2" t="n">
        <v>635</v>
      </c>
      <c r="E93" s="2" t="n">
        <v>14</v>
      </c>
      <c r="F93" s="2" t="n">
        <v>67</v>
      </c>
      <c r="G93" s="2" t="n">
        <v>723</v>
      </c>
      <c r="H93" s="2" t="n">
        <v>278</v>
      </c>
      <c r="I93" s="2" t="n">
        <v>40</v>
      </c>
      <c r="J93" s="2" t="n">
        <v>288</v>
      </c>
      <c r="K93" s="2" t="n">
        <v>816</v>
      </c>
      <c r="L93" s="2" t="n">
        <v>300</v>
      </c>
      <c r="M93" s="2" t="n">
        <v>61</v>
      </c>
      <c r="N93" s="2" t="n">
        <v>287</v>
      </c>
      <c r="O93" s="2" t="n">
        <v>756</v>
      </c>
      <c r="Q93" s="2" t="n">
        <f aca="false">F93+G93+H93</f>
        <v>1068</v>
      </c>
    </row>
    <row r="94" customFormat="false" ht="12.8" hidden="false" customHeight="false" outlineLevel="0" collapsed="false">
      <c r="A94" s="2" t="s">
        <v>231</v>
      </c>
      <c r="B94" s="2" t="s">
        <v>211</v>
      </c>
      <c r="C94" s="2" t="s">
        <v>212</v>
      </c>
      <c r="D94" s="2" t="n">
        <v>1476</v>
      </c>
      <c r="E94" s="2" t="n">
        <v>16</v>
      </c>
      <c r="F94" s="2" t="n">
        <v>0</v>
      </c>
      <c r="G94" s="2" t="n">
        <v>1336</v>
      </c>
      <c r="H94" s="2" t="n">
        <v>257</v>
      </c>
      <c r="I94" s="2" t="n">
        <v>529</v>
      </c>
      <c r="J94" s="2" t="n">
        <v>11</v>
      </c>
      <c r="K94" s="2" t="n">
        <v>1772</v>
      </c>
      <c r="L94" s="2" t="n">
        <v>190</v>
      </c>
      <c r="M94" s="2" t="n">
        <v>1</v>
      </c>
      <c r="N94" s="2" t="n">
        <v>1345</v>
      </c>
      <c r="O94" s="2" t="n">
        <v>1155</v>
      </c>
      <c r="Q94" s="2" t="n">
        <f aca="false">F94+G94+H94</f>
        <v>1593</v>
      </c>
    </row>
    <row r="95" customFormat="false" ht="12.8" hidden="false" customHeight="false" outlineLevel="0" collapsed="false">
      <c r="A95" s="2" t="s">
        <v>231</v>
      </c>
      <c r="B95" s="2" t="s">
        <v>211</v>
      </c>
      <c r="C95" s="2" t="s">
        <v>213</v>
      </c>
      <c r="D95" s="2" t="n">
        <v>1518</v>
      </c>
      <c r="E95" s="2" t="n">
        <v>28</v>
      </c>
      <c r="F95" s="2" t="n">
        <v>0</v>
      </c>
      <c r="G95" s="2" t="n">
        <v>1803</v>
      </c>
      <c r="H95" s="2" t="n">
        <v>333</v>
      </c>
      <c r="I95" s="2" t="n">
        <v>688</v>
      </c>
      <c r="J95" s="2" t="n">
        <v>20</v>
      </c>
      <c r="K95" s="2" t="n">
        <v>2315</v>
      </c>
      <c r="L95" s="2" t="n">
        <v>199</v>
      </c>
      <c r="M95" s="2" t="n">
        <v>3</v>
      </c>
      <c r="N95" s="2" t="n">
        <v>1869</v>
      </c>
      <c r="O95" s="2" t="n">
        <v>1560</v>
      </c>
      <c r="Q95" s="2" t="n">
        <f aca="false">F95+G95+H95</f>
        <v>2136</v>
      </c>
    </row>
    <row r="96" customFormat="false" ht="12.8" hidden="false" customHeight="false" outlineLevel="0" collapsed="false">
      <c r="A96" s="2" t="s">
        <v>231</v>
      </c>
      <c r="B96" s="2" t="s">
        <v>211</v>
      </c>
      <c r="C96" s="2" t="s">
        <v>214</v>
      </c>
      <c r="D96" s="2" t="n">
        <v>1378</v>
      </c>
      <c r="E96" s="2" t="n">
        <v>27</v>
      </c>
      <c r="F96" s="2" t="n">
        <v>0</v>
      </c>
      <c r="G96" s="2" t="n">
        <v>1653</v>
      </c>
      <c r="H96" s="2" t="n">
        <v>353</v>
      </c>
      <c r="I96" s="2" t="n">
        <v>562</v>
      </c>
      <c r="J96" s="2" t="n">
        <v>44</v>
      </c>
      <c r="K96" s="2" t="n">
        <v>2145</v>
      </c>
      <c r="L96" s="2" t="n">
        <v>157</v>
      </c>
      <c r="M96" s="2" t="n">
        <v>21</v>
      </c>
      <c r="N96" s="2" t="n">
        <v>1690</v>
      </c>
      <c r="O96" s="2" t="n">
        <v>1252</v>
      </c>
      <c r="Q96" s="2" t="n">
        <f aca="false">F96+G96+H96</f>
        <v>2006</v>
      </c>
    </row>
    <row r="97" customFormat="false" ht="12.8" hidden="false" customHeight="false" outlineLevel="0" collapsed="false">
      <c r="A97" s="2" t="s">
        <v>231</v>
      </c>
      <c r="B97" s="2" t="s">
        <v>211</v>
      </c>
      <c r="C97" s="2" t="s">
        <v>215</v>
      </c>
      <c r="D97" s="2" t="n">
        <v>1287</v>
      </c>
      <c r="E97" s="2" t="n">
        <v>20</v>
      </c>
      <c r="F97" s="2" t="n">
        <v>0</v>
      </c>
      <c r="G97" s="2" t="n">
        <v>1621</v>
      </c>
      <c r="H97" s="2" t="n">
        <v>304</v>
      </c>
      <c r="I97" s="2" t="n">
        <v>535</v>
      </c>
      <c r="J97" s="2" t="n">
        <v>0</v>
      </c>
      <c r="K97" s="2" t="n">
        <v>2088</v>
      </c>
      <c r="L97" s="2" t="n">
        <v>111</v>
      </c>
      <c r="M97" s="2" t="n">
        <v>19</v>
      </c>
      <c r="N97" s="2" t="n">
        <v>1703</v>
      </c>
      <c r="O97" s="2" t="n">
        <v>1198</v>
      </c>
      <c r="Q97" s="2" t="n">
        <f aca="false">F97+G97+H97</f>
        <v>1925</v>
      </c>
    </row>
    <row r="98" customFormat="false" ht="12.8" hidden="false" customHeight="false" outlineLevel="0" collapsed="false">
      <c r="A98" s="2" t="s">
        <v>231</v>
      </c>
      <c r="B98" s="2" t="s">
        <v>211</v>
      </c>
      <c r="C98" s="2" t="s">
        <v>216</v>
      </c>
      <c r="D98" s="2" t="n">
        <v>1309</v>
      </c>
      <c r="E98" s="2" t="n">
        <v>22</v>
      </c>
      <c r="F98" s="2" t="n">
        <v>0</v>
      </c>
      <c r="G98" s="2" t="n">
        <v>1566</v>
      </c>
      <c r="H98" s="2" t="n">
        <v>339</v>
      </c>
      <c r="I98" s="2" t="n">
        <v>607</v>
      </c>
      <c r="J98" s="2" t="n">
        <v>29</v>
      </c>
      <c r="K98" s="2" t="n">
        <v>1999</v>
      </c>
      <c r="L98" s="2" t="n">
        <v>236</v>
      </c>
      <c r="M98" s="2" t="n">
        <v>35</v>
      </c>
      <c r="N98" s="2" t="n">
        <v>1601</v>
      </c>
      <c r="O98" s="2" t="n">
        <v>1337</v>
      </c>
      <c r="Q98" s="2" t="n">
        <f aca="false">F98+G98+H98</f>
        <v>1905</v>
      </c>
    </row>
    <row r="99" customFormat="false" ht="12.8" hidden="false" customHeight="false" outlineLevel="0" collapsed="false">
      <c r="A99" s="2" t="s">
        <v>231</v>
      </c>
      <c r="B99" s="2" t="s">
        <v>211</v>
      </c>
      <c r="C99" s="2" t="s">
        <v>217</v>
      </c>
      <c r="D99" s="2" t="n">
        <v>1417</v>
      </c>
      <c r="E99" s="2" t="n">
        <v>26</v>
      </c>
      <c r="F99" s="2" t="n">
        <v>0</v>
      </c>
      <c r="G99" s="2" t="n">
        <v>1362</v>
      </c>
      <c r="H99" s="2" t="n">
        <v>245</v>
      </c>
      <c r="I99" s="2" t="n">
        <v>532</v>
      </c>
      <c r="J99" s="2" t="n">
        <v>54</v>
      </c>
      <c r="K99" s="2" t="n">
        <v>1775</v>
      </c>
      <c r="L99" s="2" t="n">
        <v>195</v>
      </c>
      <c r="M99" s="2" t="n">
        <v>2</v>
      </c>
      <c r="N99" s="2" t="n">
        <v>1362</v>
      </c>
      <c r="O99" s="2" t="n">
        <v>1239</v>
      </c>
      <c r="Q99" s="2" t="n">
        <f aca="false">F99+G99+H99</f>
        <v>1607</v>
      </c>
    </row>
    <row r="100" customFormat="false" ht="12.8" hidden="false" customHeight="false" outlineLevel="0" collapsed="false">
      <c r="A100" s="2" t="s">
        <v>231</v>
      </c>
      <c r="B100" s="2" t="s">
        <v>211</v>
      </c>
      <c r="C100" s="2" t="s">
        <v>218</v>
      </c>
      <c r="D100" s="2" t="n">
        <v>1326</v>
      </c>
      <c r="E100" s="2" t="n">
        <v>24</v>
      </c>
      <c r="F100" s="2" t="n">
        <v>0</v>
      </c>
      <c r="G100" s="2" t="n">
        <v>1320</v>
      </c>
      <c r="H100" s="2" t="n">
        <v>247</v>
      </c>
      <c r="I100" s="2" t="n">
        <v>522</v>
      </c>
      <c r="J100" s="2" t="n">
        <v>108</v>
      </c>
      <c r="K100" s="2" t="n">
        <v>1777</v>
      </c>
      <c r="L100" s="2" t="n">
        <v>181</v>
      </c>
      <c r="M100" s="2" t="n">
        <v>13</v>
      </c>
      <c r="N100" s="2" t="n">
        <v>1260</v>
      </c>
      <c r="O100" s="2" t="n">
        <v>1234</v>
      </c>
      <c r="Q100" s="2" t="n">
        <f aca="false">F100+G100+H100</f>
        <v>1567</v>
      </c>
    </row>
    <row r="101" customFormat="false" ht="12.8" hidden="false" customHeight="false" outlineLevel="0" collapsed="false">
      <c r="A101" s="2" t="s">
        <v>231</v>
      </c>
      <c r="B101" s="2" t="s">
        <v>211</v>
      </c>
      <c r="C101" s="2" t="s">
        <v>219</v>
      </c>
      <c r="D101" s="2" t="n">
        <v>1321</v>
      </c>
      <c r="E101" s="2" t="n">
        <v>38</v>
      </c>
      <c r="F101" s="2" t="n">
        <v>0</v>
      </c>
      <c r="G101" s="2" t="n">
        <v>1321</v>
      </c>
      <c r="H101" s="2" t="n">
        <v>265</v>
      </c>
      <c r="I101" s="2" t="n">
        <v>584</v>
      </c>
      <c r="J101" s="2" t="n">
        <v>62</v>
      </c>
      <c r="K101" s="2" t="n">
        <v>1802</v>
      </c>
      <c r="L101" s="2" t="n">
        <v>176</v>
      </c>
      <c r="M101" s="2" t="n">
        <v>12</v>
      </c>
      <c r="N101" s="2" t="n">
        <v>1281</v>
      </c>
      <c r="O101" s="2" t="n">
        <v>1318</v>
      </c>
      <c r="Q101" s="2" t="n">
        <f aca="false">F101+G101+H101</f>
        <v>1586</v>
      </c>
    </row>
    <row r="102" customFormat="false" ht="12.8" hidden="false" customHeight="false" outlineLevel="0" collapsed="false">
      <c r="A102" s="2" t="s">
        <v>231</v>
      </c>
      <c r="B102" s="2" t="s">
        <v>211</v>
      </c>
      <c r="C102" s="2" t="s">
        <v>220</v>
      </c>
      <c r="D102" s="2" t="n">
        <v>1272</v>
      </c>
      <c r="E102" s="2" t="n">
        <v>35</v>
      </c>
      <c r="F102" s="2" t="n">
        <v>0</v>
      </c>
      <c r="G102" s="2" t="n">
        <v>1276</v>
      </c>
      <c r="H102" s="2" t="n">
        <v>307</v>
      </c>
      <c r="I102" s="2" t="n">
        <v>583</v>
      </c>
      <c r="J102" s="2" t="n">
        <v>31</v>
      </c>
      <c r="K102" s="2" t="n">
        <v>1700</v>
      </c>
      <c r="L102" s="2" t="n">
        <v>255</v>
      </c>
      <c r="M102" s="2" t="n">
        <v>16</v>
      </c>
      <c r="N102" s="2" t="n">
        <v>1285</v>
      </c>
      <c r="O102" s="2" t="n">
        <v>1260</v>
      </c>
      <c r="Q102" s="2" t="n">
        <f aca="false">F102+G102+H102</f>
        <v>1583</v>
      </c>
    </row>
    <row r="103" customFormat="false" ht="12.8" hidden="false" customHeight="false" outlineLevel="0" collapsed="false">
      <c r="A103" s="2" t="s">
        <v>231</v>
      </c>
      <c r="B103" s="2" t="s">
        <v>211</v>
      </c>
      <c r="C103" s="2" t="s">
        <v>221</v>
      </c>
      <c r="D103" s="2" t="n">
        <v>1163</v>
      </c>
      <c r="E103" s="2" t="n">
        <v>34</v>
      </c>
      <c r="F103" s="2" t="n">
        <v>0</v>
      </c>
      <c r="G103" s="2" t="n">
        <v>1226</v>
      </c>
      <c r="H103" s="2" t="n">
        <v>313</v>
      </c>
      <c r="I103" s="2" t="n">
        <v>518</v>
      </c>
      <c r="J103" s="2" t="n">
        <v>0</v>
      </c>
      <c r="K103" s="2" t="n">
        <v>1644</v>
      </c>
      <c r="L103" s="2" t="n">
        <v>190</v>
      </c>
      <c r="M103" s="2" t="n">
        <v>14</v>
      </c>
      <c r="N103" s="2" t="n">
        <v>1267</v>
      </c>
      <c r="O103" s="2" t="n">
        <v>1138</v>
      </c>
      <c r="Q103" s="2" t="n">
        <f aca="false">F103+G103+H103</f>
        <v>1539</v>
      </c>
    </row>
    <row r="104" customFormat="false" ht="12.8" hidden="false" customHeight="false" outlineLevel="0" collapsed="false">
      <c r="A104" s="2" t="s">
        <v>231</v>
      </c>
      <c r="B104" s="2" t="s">
        <v>211</v>
      </c>
      <c r="C104" s="2" t="s">
        <v>222</v>
      </c>
      <c r="D104" s="2" t="n">
        <v>1256</v>
      </c>
      <c r="E104" s="2" t="n">
        <v>29</v>
      </c>
      <c r="F104" s="2" t="n">
        <v>0</v>
      </c>
      <c r="G104" s="2" t="n">
        <v>1353</v>
      </c>
      <c r="H104" s="2" t="n">
        <v>324</v>
      </c>
      <c r="I104" s="2" t="n">
        <v>557</v>
      </c>
      <c r="J104" s="2" t="n">
        <v>27</v>
      </c>
      <c r="K104" s="2" t="n">
        <v>1779</v>
      </c>
      <c r="L104" s="2" t="n">
        <v>233</v>
      </c>
      <c r="M104" s="2" t="n">
        <v>15</v>
      </c>
      <c r="N104" s="2" t="n">
        <v>1435</v>
      </c>
      <c r="O104" s="2" t="n">
        <v>1267</v>
      </c>
      <c r="Q104" s="2" t="n">
        <f aca="false">F104+G104+H104</f>
        <v>1677</v>
      </c>
    </row>
    <row r="105" customFormat="false" ht="12.8" hidden="false" customHeight="false" outlineLevel="0" collapsed="false">
      <c r="A105" s="2" t="s">
        <v>231</v>
      </c>
      <c r="B105" s="2" t="s">
        <v>211</v>
      </c>
      <c r="C105" s="2" t="s">
        <v>223</v>
      </c>
      <c r="D105" s="2" t="n">
        <v>1283</v>
      </c>
      <c r="E105" s="2" t="n">
        <v>27</v>
      </c>
      <c r="F105" s="2" t="n">
        <v>0</v>
      </c>
      <c r="G105" s="2" t="n">
        <v>1376</v>
      </c>
      <c r="H105" s="2" t="n">
        <v>269</v>
      </c>
      <c r="I105" s="2" t="n">
        <v>474</v>
      </c>
      <c r="J105" s="2" t="n">
        <v>21</v>
      </c>
      <c r="K105" s="2" t="n">
        <v>1804</v>
      </c>
      <c r="L105" s="2" t="n">
        <v>176</v>
      </c>
      <c r="M105" s="2" t="n">
        <v>4</v>
      </c>
      <c r="N105" s="2" t="n">
        <v>1361</v>
      </c>
      <c r="O105" s="2" t="n">
        <v>1133</v>
      </c>
      <c r="Q105" s="2" t="n">
        <f aca="false">F105+G105+H105</f>
        <v>1645</v>
      </c>
    </row>
    <row r="106" customFormat="false" ht="12.8" hidden="false" customHeight="false" outlineLevel="0" collapsed="false">
      <c r="A106" s="2" t="s">
        <v>231</v>
      </c>
      <c r="B106" s="2" t="s">
        <v>211</v>
      </c>
      <c r="C106" s="2" t="s">
        <v>224</v>
      </c>
      <c r="D106" s="2" t="n">
        <v>1504</v>
      </c>
      <c r="E106" s="2" t="n">
        <v>22</v>
      </c>
      <c r="F106" s="2" t="n">
        <v>0</v>
      </c>
      <c r="G106" s="2" t="n">
        <v>1683</v>
      </c>
      <c r="H106" s="2" t="n">
        <v>326</v>
      </c>
      <c r="I106" s="2" t="n">
        <v>642</v>
      </c>
      <c r="J106" s="2" t="n">
        <v>39</v>
      </c>
      <c r="K106" s="2" t="n">
        <v>2238</v>
      </c>
      <c r="L106" s="2" t="n">
        <v>197</v>
      </c>
      <c r="M106" s="2" t="n">
        <v>10</v>
      </c>
      <c r="N106" s="2" t="n">
        <v>1656</v>
      </c>
      <c r="O106" s="2" t="n">
        <v>1461</v>
      </c>
      <c r="Q106" s="2" t="n">
        <f aca="false">F106+G106+H106</f>
        <v>2009</v>
      </c>
    </row>
    <row r="107" customFormat="false" ht="12.8" hidden="false" customHeight="false" outlineLevel="0" collapsed="false">
      <c r="A107" s="2" t="s">
        <v>232</v>
      </c>
      <c r="B107" s="2" t="s">
        <v>211</v>
      </c>
      <c r="C107" s="2" t="s">
        <v>212</v>
      </c>
      <c r="D107" s="2" t="n">
        <v>1188</v>
      </c>
      <c r="E107" s="2" t="n">
        <v>74</v>
      </c>
      <c r="F107" s="2" t="n">
        <v>651</v>
      </c>
      <c r="G107" s="2" t="n">
        <v>343</v>
      </c>
      <c r="H107" s="2" t="n">
        <v>508</v>
      </c>
      <c r="I107" s="2" t="n">
        <v>461</v>
      </c>
      <c r="J107" s="2" t="n">
        <v>329</v>
      </c>
      <c r="K107" s="2" t="n">
        <v>1097</v>
      </c>
      <c r="L107" s="2" t="n">
        <v>175</v>
      </c>
      <c r="M107" s="2" t="n">
        <v>168</v>
      </c>
      <c r="N107" s="2" t="n">
        <v>789</v>
      </c>
      <c r="O107" s="2" t="n">
        <v>700</v>
      </c>
      <c r="Q107" s="2" t="n">
        <f aca="false">F107+G107+H107</f>
        <v>1502</v>
      </c>
    </row>
    <row r="108" customFormat="false" ht="12.8" hidden="false" customHeight="false" outlineLevel="0" collapsed="false">
      <c r="A108" s="2" t="s">
        <v>232</v>
      </c>
      <c r="B108" s="2" t="s">
        <v>211</v>
      </c>
      <c r="C108" s="2" t="s">
        <v>213</v>
      </c>
      <c r="D108" s="2" t="n">
        <v>1245</v>
      </c>
      <c r="E108" s="2" t="n">
        <v>113</v>
      </c>
      <c r="F108" s="2" t="n">
        <v>547</v>
      </c>
      <c r="G108" s="2" t="n">
        <v>606</v>
      </c>
      <c r="H108" s="2" t="n">
        <v>1001</v>
      </c>
      <c r="I108" s="2" t="n">
        <v>534</v>
      </c>
      <c r="J108" s="2" t="n">
        <v>468</v>
      </c>
      <c r="K108" s="2" t="n">
        <v>2077</v>
      </c>
      <c r="L108" s="2" t="n">
        <v>312</v>
      </c>
      <c r="M108" s="2" t="n">
        <v>62</v>
      </c>
      <c r="N108" s="2" t="n">
        <v>674</v>
      </c>
      <c r="O108" s="2" t="n">
        <v>1136</v>
      </c>
      <c r="Q108" s="2" t="n">
        <f aca="false">F108+G108+H108</f>
        <v>2154</v>
      </c>
    </row>
    <row r="109" customFormat="false" ht="12.8" hidden="false" customHeight="false" outlineLevel="0" collapsed="false">
      <c r="A109" s="2" t="s">
        <v>232</v>
      </c>
      <c r="B109" s="2" t="s">
        <v>211</v>
      </c>
      <c r="C109" s="2" t="s">
        <v>214</v>
      </c>
      <c r="D109" s="2" t="n">
        <v>2528</v>
      </c>
      <c r="E109" s="2" t="n">
        <v>174</v>
      </c>
      <c r="F109" s="2" t="n">
        <v>793</v>
      </c>
      <c r="G109" s="2" t="n">
        <v>896</v>
      </c>
      <c r="H109" s="2" t="n">
        <v>2255</v>
      </c>
      <c r="I109" s="2" t="n">
        <v>703</v>
      </c>
      <c r="J109" s="2" t="n">
        <v>503</v>
      </c>
      <c r="K109" s="2" t="n">
        <v>3827</v>
      </c>
      <c r="L109" s="2" t="n">
        <v>516</v>
      </c>
      <c r="M109" s="2" t="n">
        <v>95</v>
      </c>
      <c r="N109" s="2" t="n">
        <v>987</v>
      </c>
      <c r="O109" s="2" t="n">
        <v>1768</v>
      </c>
      <c r="Q109" s="2" t="n">
        <f aca="false">F109+G109+H109</f>
        <v>3944</v>
      </c>
    </row>
    <row r="110" customFormat="false" ht="12.8" hidden="false" customHeight="false" outlineLevel="0" collapsed="false">
      <c r="A110" s="2" t="s">
        <v>232</v>
      </c>
      <c r="B110" s="2" t="s">
        <v>211</v>
      </c>
      <c r="C110" s="2" t="s">
        <v>215</v>
      </c>
      <c r="D110" s="2" t="n">
        <v>2704</v>
      </c>
      <c r="E110" s="2" t="n">
        <v>209</v>
      </c>
      <c r="F110" s="2" t="n">
        <v>670</v>
      </c>
      <c r="G110" s="2" t="n">
        <v>889</v>
      </c>
      <c r="H110" s="2" t="n">
        <v>2580</v>
      </c>
      <c r="I110" s="2" t="n">
        <v>669</v>
      </c>
      <c r="J110" s="2" t="n">
        <v>470</v>
      </c>
      <c r="K110" s="2" t="n">
        <v>4387</v>
      </c>
      <c r="L110" s="2" t="n">
        <v>366</v>
      </c>
      <c r="M110" s="2" t="n">
        <v>81</v>
      </c>
      <c r="N110" s="2" t="n">
        <v>933</v>
      </c>
      <c r="O110" s="2" t="n">
        <v>2164</v>
      </c>
      <c r="Q110" s="2" t="n">
        <f aca="false">F110+G110+H110</f>
        <v>4139</v>
      </c>
    </row>
    <row r="111" customFormat="false" ht="12.8" hidden="false" customHeight="false" outlineLevel="0" collapsed="false">
      <c r="A111" s="2" t="s">
        <v>232</v>
      </c>
      <c r="B111" s="2" t="s">
        <v>211</v>
      </c>
      <c r="C111" s="2" t="s">
        <v>216</v>
      </c>
      <c r="D111" s="2" t="n">
        <v>3019</v>
      </c>
      <c r="E111" s="2" t="n">
        <v>197</v>
      </c>
      <c r="F111" s="2" t="n">
        <v>809</v>
      </c>
      <c r="G111" s="2" t="n">
        <v>887</v>
      </c>
      <c r="H111" s="2" t="n">
        <v>2975</v>
      </c>
      <c r="I111" s="2" t="n">
        <v>658</v>
      </c>
      <c r="J111" s="2" t="n">
        <v>626</v>
      </c>
      <c r="K111" s="2" t="n">
        <v>4702</v>
      </c>
      <c r="L111" s="2" t="n">
        <v>440</v>
      </c>
      <c r="M111" s="2" t="n">
        <v>73</v>
      </c>
      <c r="N111" s="2" t="n">
        <v>1093</v>
      </c>
      <c r="O111" s="2" t="n">
        <v>2295</v>
      </c>
      <c r="Q111" s="2" t="n">
        <f aca="false">F111+G111+H111</f>
        <v>4671</v>
      </c>
    </row>
    <row r="112" customFormat="false" ht="12.8" hidden="false" customHeight="false" outlineLevel="0" collapsed="false">
      <c r="A112" s="2" t="s">
        <v>232</v>
      </c>
      <c r="B112" s="2" t="s">
        <v>211</v>
      </c>
      <c r="C112" s="2" t="s">
        <v>217</v>
      </c>
      <c r="D112" s="2" t="n">
        <v>1027</v>
      </c>
      <c r="E112" s="2" t="n">
        <v>95</v>
      </c>
      <c r="F112" s="2" t="n">
        <v>718</v>
      </c>
      <c r="G112" s="2" t="n">
        <v>370</v>
      </c>
      <c r="H112" s="2" t="n">
        <v>598</v>
      </c>
      <c r="I112" s="2" t="n">
        <v>544</v>
      </c>
      <c r="J112" s="2" t="n">
        <v>267</v>
      </c>
      <c r="K112" s="2" t="n">
        <v>1231</v>
      </c>
      <c r="L112" s="2" t="n">
        <v>234</v>
      </c>
      <c r="M112" s="2" t="n">
        <v>143</v>
      </c>
      <c r="N112" s="2" t="n">
        <v>919</v>
      </c>
      <c r="O112" s="2" t="n">
        <v>648</v>
      </c>
      <c r="Q112" s="2" t="n">
        <f aca="false">F112+G112+H112</f>
        <v>1686</v>
      </c>
    </row>
    <row r="113" customFormat="false" ht="12.8" hidden="false" customHeight="false" outlineLevel="0" collapsed="false">
      <c r="A113" s="2" t="s">
        <v>232</v>
      </c>
      <c r="B113" s="2" t="s">
        <v>211</v>
      </c>
      <c r="C113" s="2" t="s">
        <v>218</v>
      </c>
      <c r="D113" s="2" t="n">
        <v>876</v>
      </c>
      <c r="E113" s="2" t="n">
        <v>111</v>
      </c>
      <c r="F113" s="2" t="n">
        <v>808</v>
      </c>
      <c r="G113" s="2" t="n">
        <v>368</v>
      </c>
      <c r="H113" s="2" t="n">
        <v>580</v>
      </c>
      <c r="I113" s="2" t="n">
        <v>483</v>
      </c>
      <c r="J113" s="2" t="n">
        <v>383</v>
      </c>
      <c r="K113" s="2" t="n">
        <v>1305</v>
      </c>
      <c r="L113" s="2" t="n">
        <v>162</v>
      </c>
      <c r="M113" s="2" t="n">
        <v>174</v>
      </c>
      <c r="N113" s="2" t="n">
        <v>855</v>
      </c>
      <c r="O113" s="2" t="n">
        <v>591</v>
      </c>
      <c r="Q113" s="2" t="n">
        <f aca="false">F113+G113+H113</f>
        <v>1756</v>
      </c>
    </row>
    <row r="114" customFormat="false" ht="12.8" hidden="false" customHeight="false" outlineLevel="0" collapsed="false">
      <c r="A114" s="2" t="s">
        <v>232</v>
      </c>
      <c r="B114" s="2" t="s">
        <v>211</v>
      </c>
      <c r="C114" s="2" t="s">
        <v>219</v>
      </c>
      <c r="D114" s="2" t="n">
        <v>734</v>
      </c>
      <c r="E114" s="2" t="n">
        <v>100</v>
      </c>
      <c r="F114" s="2" t="n">
        <v>726</v>
      </c>
      <c r="G114" s="2" t="n">
        <v>341</v>
      </c>
      <c r="H114" s="2" t="n">
        <v>476</v>
      </c>
      <c r="I114" s="2" t="n">
        <v>583</v>
      </c>
      <c r="J114" s="2" t="n">
        <v>141</v>
      </c>
      <c r="K114" s="2" t="n">
        <v>1222</v>
      </c>
      <c r="L114" s="2" t="n">
        <v>152</v>
      </c>
      <c r="M114" s="2" t="n">
        <v>140</v>
      </c>
      <c r="N114" s="2" t="n">
        <v>814</v>
      </c>
      <c r="O114" s="2" t="n">
        <v>584</v>
      </c>
      <c r="Q114" s="2" t="n">
        <f aca="false">F114+G114+H114</f>
        <v>1543</v>
      </c>
    </row>
    <row r="115" customFormat="false" ht="12.8" hidden="false" customHeight="false" outlineLevel="0" collapsed="false">
      <c r="A115" s="2" t="s">
        <v>232</v>
      </c>
      <c r="B115" s="2" t="s">
        <v>211</v>
      </c>
      <c r="C115" s="2" t="s">
        <v>220</v>
      </c>
      <c r="D115" s="2" t="n">
        <v>1226</v>
      </c>
      <c r="E115" s="2" t="n">
        <v>123</v>
      </c>
      <c r="F115" s="2" t="n">
        <v>728</v>
      </c>
      <c r="G115" s="2" t="n">
        <v>442</v>
      </c>
      <c r="H115" s="2" t="n">
        <v>935</v>
      </c>
      <c r="I115" s="2" t="n">
        <v>420</v>
      </c>
      <c r="J115" s="2" t="n">
        <v>378</v>
      </c>
      <c r="K115" s="2" t="n">
        <v>1753</v>
      </c>
      <c r="L115" s="2" t="n">
        <v>200</v>
      </c>
      <c r="M115" s="2" t="n">
        <v>128</v>
      </c>
      <c r="N115" s="2" t="n">
        <v>757</v>
      </c>
      <c r="O115" s="2" t="n">
        <v>650</v>
      </c>
      <c r="Q115" s="2" t="n">
        <f aca="false">F115+G115+H115</f>
        <v>2105</v>
      </c>
    </row>
    <row r="116" customFormat="false" ht="12.8" hidden="false" customHeight="false" outlineLevel="0" collapsed="false">
      <c r="A116" s="2" t="s">
        <v>232</v>
      </c>
      <c r="B116" s="2" t="s">
        <v>211</v>
      </c>
      <c r="C116" s="2" t="s">
        <v>221</v>
      </c>
      <c r="D116" s="2" t="n">
        <v>1347</v>
      </c>
      <c r="E116" s="2" t="n">
        <v>120</v>
      </c>
      <c r="F116" s="2" t="n">
        <v>635</v>
      </c>
      <c r="G116" s="2" t="n">
        <v>447</v>
      </c>
      <c r="H116" s="2" t="n">
        <v>1102</v>
      </c>
      <c r="I116" s="2" t="n">
        <v>267</v>
      </c>
      <c r="J116" s="2" t="n">
        <v>346</v>
      </c>
      <c r="K116" s="2" t="n">
        <v>2073</v>
      </c>
      <c r="L116" s="2" t="n">
        <v>206</v>
      </c>
      <c r="M116" s="2" t="n">
        <v>131</v>
      </c>
      <c r="N116" s="2" t="n">
        <v>728</v>
      </c>
      <c r="O116" s="2" t="n">
        <v>884</v>
      </c>
      <c r="Q116" s="2" t="n">
        <f aca="false">F116+G116+H116</f>
        <v>2184</v>
      </c>
    </row>
    <row r="117" customFormat="false" ht="12.8" hidden="false" customHeight="false" outlineLevel="0" collapsed="false">
      <c r="A117" s="2" t="s">
        <v>232</v>
      </c>
      <c r="B117" s="2" t="s">
        <v>211</v>
      </c>
      <c r="C117" s="2" t="s">
        <v>222</v>
      </c>
      <c r="D117" s="2" t="n">
        <v>1268</v>
      </c>
      <c r="E117" s="2" t="n">
        <v>88</v>
      </c>
      <c r="F117" s="2" t="n">
        <v>703</v>
      </c>
      <c r="G117" s="2" t="n">
        <v>586</v>
      </c>
      <c r="H117" s="2" t="n">
        <v>935</v>
      </c>
      <c r="I117" s="2" t="n">
        <v>564</v>
      </c>
      <c r="J117" s="2" t="n">
        <v>392</v>
      </c>
      <c r="K117" s="2" t="n">
        <v>2032</v>
      </c>
      <c r="L117" s="2" t="n">
        <v>265</v>
      </c>
      <c r="M117" s="2" t="n">
        <v>98</v>
      </c>
      <c r="N117" s="2" t="n">
        <v>804</v>
      </c>
      <c r="O117" s="2" t="n">
        <v>776</v>
      </c>
      <c r="Q117" s="2" t="n">
        <f aca="false">F117+G117+H117</f>
        <v>2224</v>
      </c>
    </row>
    <row r="118" customFormat="false" ht="12.8" hidden="false" customHeight="false" outlineLevel="0" collapsed="false">
      <c r="A118" s="2" t="s">
        <v>232</v>
      </c>
      <c r="B118" s="2" t="s">
        <v>211</v>
      </c>
      <c r="C118" s="2" t="s">
        <v>223</v>
      </c>
      <c r="D118" s="2" t="n">
        <v>1166</v>
      </c>
      <c r="E118" s="2" t="n">
        <v>123</v>
      </c>
      <c r="F118" s="2" t="n">
        <v>744</v>
      </c>
      <c r="G118" s="2" t="n">
        <v>578</v>
      </c>
      <c r="H118" s="2" t="n">
        <v>888</v>
      </c>
      <c r="I118" s="2" t="n">
        <v>671</v>
      </c>
      <c r="J118" s="2" t="n">
        <v>442</v>
      </c>
      <c r="K118" s="2" t="n">
        <v>1960</v>
      </c>
      <c r="L118" s="2" t="n">
        <v>53</v>
      </c>
      <c r="M118" s="2" t="n">
        <v>141</v>
      </c>
      <c r="N118" s="2" t="n">
        <v>797</v>
      </c>
      <c r="O118" s="2" t="n">
        <v>843</v>
      </c>
      <c r="Q118" s="2" t="n">
        <f aca="false">F118+G118+H118</f>
        <v>2210</v>
      </c>
    </row>
    <row r="119" customFormat="false" ht="12.8" hidden="false" customHeight="false" outlineLevel="0" collapsed="false">
      <c r="A119" s="2" t="s">
        <v>232</v>
      </c>
      <c r="B119" s="2" t="s">
        <v>211</v>
      </c>
      <c r="C119" s="2" t="s">
        <v>224</v>
      </c>
      <c r="D119" s="2" t="n">
        <v>1272</v>
      </c>
      <c r="E119" s="2" t="n">
        <v>122</v>
      </c>
      <c r="F119" s="2" t="n">
        <v>665</v>
      </c>
      <c r="G119" s="2" t="n">
        <v>713</v>
      </c>
      <c r="H119" s="2" t="n">
        <v>958</v>
      </c>
      <c r="I119" s="2" t="n">
        <v>627</v>
      </c>
      <c r="J119" s="2" t="n">
        <v>499</v>
      </c>
      <c r="K119" s="2" t="n">
        <v>2161</v>
      </c>
      <c r="L119" s="2" t="n">
        <v>363</v>
      </c>
      <c r="M119" s="2" t="n">
        <v>102</v>
      </c>
      <c r="N119" s="2" t="n">
        <v>827</v>
      </c>
      <c r="O119" s="2" t="n">
        <v>1074</v>
      </c>
      <c r="Q119" s="2" t="n">
        <f aca="false">F119+G119+H119</f>
        <v>2336</v>
      </c>
    </row>
    <row r="120" customFormat="false" ht="12.8" hidden="false" customHeight="false" outlineLevel="0" collapsed="false">
      <c r="A120" s="2" t="s">
        <v>233</v>
      </c>
      <c r="B120" s="2" t="s">
        <v>211</v>
      </c>
      <c r="C120" s="2" t="s">
        <v>212</v>
      </c>
      <c r="D120" s="2" t="n">
        <v>1051</v>
      </c>
      <c r="E120" s="2" t="n">
        <v>54</v>
      </c>
      <c r="F120" s="2" t="n">
        <v>560</v>
      </c>
      <c r="G120" s="2" t="n">
        <v>378</v>
      </c>
      <c r="H120" s="2" t="n">
        <v>390</v>
      </c>
      <c r="I120" s="2" t="n">
        <v>661</v>
      </c>
      <c r="J120" s="2" t="n">
        <v>279</v>
      </c>
      <c r="K120" s="2" t="n">
        <v>853</v>
      </c>
      <c r="L120" s="2" t="n">
        <v>226</v>
      </c>
      <c r="M120" s="2" t="n">
        <v>82</v>
      </c>
      <c r="N120" s="2" t="n">
        <v>515</v>
      </c>
      <c r="O120" s="2" t="n">
        <v>869</v>
      </c>
      <c r="Q120" s="2" t="n">
        <f aca="false">F120+G120+H120</f>
        <v>1328</v>
      </c>
    </row>
    <row r="121" customFormat="false" ht="12.8" hidden="false" customHeight="false" outlineLevel="0" collapsed="false">
      <c r="A121" s="2" t="s">
        <v>233</v>
      </c>
      <c r="B121" s="2" t="s">
        <v>211</v>
      </c>
      <c r="C121" s="2" t="s">
        <v>213</v>
      </c>
      <c r="D121" s="2" t="n">
        <v>1076</v>
      </c>
      <c r="E121" s="2" t="n">
        <v>74</v>
      </c>
      <c r="F121" s="2" t="n">
        <v>590</v>
      </c>
      <c r="G121" s="2" t="n">
        <v>586</v>
      </c>
      <c r="H121" s="2" t="n">
        <v>730</v>
      </c>
      <c r="I121" s="2" t="n">
        <v>592</v>
      </c>
      <c r="J121" s="2" t="n">
        <v>345</v>
      </c>
      <c r="K121" s="2" t="n">
        <v>1509</v>
      </c>
      <c r="L121" s="2" t="n">
        <v>301</v>
      </c>
      <c r="M121" s="2" t="n">
        <v>129</v>
      </c>
      <c r="N121" s="2" t="n">
        <v>1001</v>
      </c>
      <c r="O121" s="2" t="n">
        <v>1406</v>
      </c>
      <c r="Q121" s="2" t="n">
        <f aca="false">F121+G121+H121</f>
        <v>1906</v>
      </c>
    </row>
    <row r="122" customFormat="false" ht="12.8" hidden="false" customHeight="false" outlineLevel="0" collapsed="false">
      <c r="A122" s="2" t="s">
        <v>233</v>
      </c>
      <c r="B122" s="2" t="s">
        <v>211</v>
      </c>
      <c r="C122" s="2" t="s">
        <v>214</v>
      </c>
      <c r="D122" s="2" t="n">
        <v>1080</v>
      </c>
      <c r="E122" s="2" t="n">
        <v>100</v>
      </c>
      <c r="F122" s="2" t="n">
        <v>710</v>
      </c>
      <c r="G122" s="2" t="n">
        <v>610</v>
      </c>
      <c r="H122" s="2" t="n">
        <v>766</v>
      </c>
      <c r="I122" s="2" t="n">
        <v>596</v>
      </c>
      <c r="J122" s="2" t="n">
        <v>448</v>
      </c>
      <c r="K122" s="2" t="n">
        <v>1648</v>
      </c>
      <c r="L122" s="2" t="n">
        <v>353</v>
      </c>
      <c r="M122" s="2" t="n">
        <v>177</v>
      </c>
      <c r="N122" s="2" t="n">
        <v>1086</v>
      </c>
      <c r="O122" s="2" t="n">
        <v>1414</v>
      </c>
      <c r="Q122" s="2" t="n">
        <f aca="false">F122+G122+H122</f>
        <v>2086</v>
      </c>
    </row>
    <row r="123" customFormat="false" ht="12.8" hidden="false" customHeight="false" outlineLevel="0" collapsed="false">
      <c r="A123" s="2" t="s">
        <v>233</v>
      </c>
      <c r="B123" s="2" t="s">
        <v>211</v>
      </c>
      <c r="C123" s="2" t="s">
        <v>215</v>
      </c>
      <c r="D123" s="2" t="n">
        <v>1525</v>
      </c>
      <c r="E123" s="2" t="n">
        <v>135</v>
      </c>
      <c r="F123" s="2" t="n">
        <v>761</v>
      </c>
      <c r="G123" s="2" t="n">
        <v>659</v>
      </c>
      <c r="H123" s="2" t="n">
        <v>1200</v>
      </c>
      <c r="I123" s="2" t="n">
        <v>700</v>
      </c>
      <c r="J123" s="2" t="n">
        <v>463</v>
      </c>
      <c r="K123" s="2" t="n">
        <v>2263</v>
      </c>
      <c r="L123" s="2" t="n">
        <v>325</v>
      </c>
      <c r="M123" s="2" t="n">
        <v>205</v>
      </c>
      <c r="N123" s="2" t="n">
        <v>1785</v>
      </c>
      <c r="O123" s="2" t="n">
        <v>1957</v>
      </c>
      <c r="Q123" s="2" t="n">
        <f aca="false">F123+G123+H123</f>
        <v>2620</v>
      </c>
    </row>
    <row r="124" customFormat="false" ht="12.8" hidden="false" customHeight="false" outlineLevel="0" collapsed="false">
      <c r="A124" s="2" t="s">
        <v>233</v>
      </c>
      <c r="B124" s="2" t="s">
        <v>211</v>
      </c>
      <c r="C124" s="2" t="s">
        <v>216</v>
      </c>
      <c r="D124" s="2" t="n">
        <v>1570</v>
      </c>
      <c r="E124" s="2" t="n">
        <v>102</v>
      </c>
      <c r="F124" s="2" t="n">
        <v>758</v>
      </c>
      <c r="G124" s="2" t="n">
        <v>712</v>
      </c>
      <c r="H124" s="2" t="n">
        <v>1203</v>
      </c>
      <c r="I124" s="2" t="n">
        <v>844</v>
      </c>
      <c r="J124" s="2" t="n">
        <v>488</v>
      </c>
      <c r="K124" s="2" t="n">
        <v>2305</v>
      </c>
      <c r="L124" s="2" t="n">
        <v>469</v>
      </c>
      <c r="M124" s="2" t="n">
        <v>183</v>
      </c>
      <c r="N124" s="2" t="n">
        <v>1659</v>
      </c>
      <c r="O124" s="2" t="n">
        <v>2137</v>
      </c>
      <c r="Q124" s="2" t="n">
        <f aca="false">F124+G124+H124</f>
        <v>2673</v>
      </c>
    </row>
    <row r="125" customFormat="false" ht="12.8" hidden="false" customHeight="false" outlineLevel="0" collapsed="false">
      <c r="A125" s="2" t="s">
        <v>233</v>
      </c>
      <c r="B125" s="2" t="s">
        <v>211</v>
      </c>
      <c r="C125" s="2" t="s">
        <v>217</v>
      </c>
      <c r="D125" s="2" t="n">
        <v>973</v>
      </c>
      <c r="E125" s="2" t="n">
        <v>60</v>
      </c>
      <c r="F125" s="2" t="n">
        <v>551</v>
      </c>
      <c r="G125" s="2" t="n">
        <v>486</v>
      </c>
      <c r="H125" s="2" t="n">
        <v>466</v>
      </c>
      <c r="I125" s="2" t="n">
        <v>765</v>
      </c>
      <c r="J125" s="2" t="n">
        <v>282</v>
      </c>
      <c r="K125" s="2" t="n">
        <v>1021</v>
      </c>
      <c r="L125" s="2" t="n">
        <v>256</v>
      </c>
      <c r="M125" s="2" t="n">
        <v>95</v>
      </c>
      <c r="N125" s="2" t="n">
        <v>517</v>
      </c>
      <c r="O125" s="2" t="n">
        <v>1097</v>
      </c>
      <c r="Q125" s="2" t="n">
        <f aca="false">F125+G125+H125</f>
        <v>1503</v>
      </c>
    </row>
    <row r="126" customFormat="false" ht="12.8" hidden="false" customHeight="false" outlineLevel="0" collapsed="false">
      <c r="A126" s="2" t="s">
        <v>233</v>
      </c>
      <c r="B126" s="2" t="s">
        <v>211</v>
      </c>
      <c r="C126" s="2" t="s">
        <v>218</v>
      </c>
      <c r="D126" s="2" t="n">
        <v>795</v>
      </c>
      <c r="E126" s="2" t="n">
        <v>57</v>
      </c>
      <c r="F126" s="2" t="n">
        <v>625</v>
      </c>
      <c r="G126" s="2" t="n">
        <v>445</v>
      </c>
      <c r="H126" s="2" t="n">
        <v>372</v>
      </c>
      <c r="I126" s="2" t="n">
        <v>626</v>
      </c>
      <c r="J126" s="2" t="n">
        <v>363</v>
      </c>
      <c r="K126" s="2" t="n">
        <v>833</v>
      </c>
      <c r="L126" s="2" t="n">
        <v>325</v>
      </c>
      <c r="M126" s="2" t="n">
        <v>83</v>
      </c>
      <c r="N126" s="2" t="n">
        <v>557</v>
      </c>
      <c r="O126" s="2" t="n">
        <v>927</v>
      </c>
      <c r="Q126" s="2" t="n">
        <f aca="false">F126+G126+H126</f>
        <v>1442</v>
      </c>
    </row>
    <row r="127" customFormat="false" ht="12.8" hidden="false" customHeight="false" outlineLevel="0" collapsed="false">
      <c r="A127" s="2" t="s">
        <v>233</v>
      </c>
      <c r="B127" s="2" t="s">
        <v>211</v>
      </c>
      <c r="C127" s="2" t="s">
        <v>219</v>
      </c>
      <c r="D127" s="2" t="n">
        <v>710</v>
      </c>
      <c r="E127" s="2" t="n">
        <v>52</v>
      </c>
      <c r="F127" s="2" t="n">
        <v>554</v>
      </c>
      <c r="G127" s="2" t="n">
        <v>428</v>
      </c>
      <c r="H127" s="2" t="n">
        <v>347</v>
      </c>
      <c r="I127" s="2" t="n">
        <v>521</v>
      </c>
      <c r="J127" s="2" t="n">
        <v>336</v>
      </c>
      <c r="K127" s="2" t="n">
        <v>884</v>
      </c>
      <c r="L127" s="2" t="n">
        <v>294</v>
      </c>
      <c r="M127" s="2" t="n">
        <v>88</v>
      </c>
      <c r="N127" s="2" t="n">
        <v>470</v>
      </c>
      <c r="O127" s="2" t="n">
        <v>991</v>
      </c>
      <c r="Q127" s="2" t="n">
        <f aca="false">F127+G127+H127</f>
        <v>1329</v>
      </c>
    </row>
    <row r="128" customFormat="false" ht="12.8" hidden="false" customHeight="false" outlineLevel="0" collapsed="false">
      <c r="A128" s="2" t="s">
        <v>233</v>
      </c>
      <c r="B128" s="2" t="s">
        <v>211</v>
      </c>
      <c r="C128" s="2" t="s">
        <v>220</v>
      </c>
      <c r="D128" s="2" t="n">
        <v>743</v>
      </c>
      <c r="E128" s="2" t="n">
        <v>56</v>
      </c>
      <c r="F128" s="2" t="n">
        <v>485</v>
      </c>
      <c r="G128" s="2" t="n">
        <v>419</v>
      </c>
      <c r="H128" s="2" t="n">
        <v>450</v>
      </c>
      <c r="I128" s="2" t="n">
        <v>539</v>
      </c>
      <c r="J128" s="2" t="n">
        <v>257</v>
      </c>
      <c r="K128" s="2" t="n">
        <v>971</v>
      </c>
      <c r="L128" s="2" t="n">
        <v>235</v>
      </c>
      <c r="M128" s="2" t="n">
        <v>79</v>
      </c>
      <c r="N128" s="2" t="n">
        <v>446</v>
      </c>
      <c r="O128" s="2" t="n">
        <v>940</v>
      </c>
      <c r="Q128" s="2" t="n">
        <f aca="false">F128+G128+H128</f>
        <v>1354</v>
      </c>
    </row>
    <row r="129" customFormat="false" ht="12.8" hidden="false" customHeight="false" outlineLevel="0" collapsed="false">
      <c r="A129" s="2" t="s">
        <v>233</v>
      </c>
      <c r="B129" s="2" t="s">
        <v>211</v>
      </c>
      <c r="C129" s="2" t="s">
        <v>221</v>
      </c>
      <c r="D129" s="2" t="n">
        <v>629</v>
      </c>
      <c r="E129" s="2" t="n">
        <v>59</v>
      </c>
      <c r="F129" s="2" t="n">
        <v>528</v>
      </c>
      <c r="G129" s="2" t="n">
        <v>348</v>
      </c>
      <c r="H129" s="2" t="n">
        <v>383</v>
      </c>
      <c r="I129" s="2" t="n">
        <v>378</v>
      </c>
      <c r="J129" s="2" t="n">
        <v>312</v>
      </c>
      <c r="K129" s="2" t="n">
        <v>847</v>
      </c>
      <c r="L129" s="2" t="n">
        <v>228</v>
      </c>
      <c r="M129" s="2" t="n">
        <v>143</v>
      </c>
      <c r="N129" s="2" t="n">
        <v>506</v>
      </c>
      <c r="O129" s="2" t="n">
        <v>799</v>
      </c>
      <c r="Q129" s="2" t="n">
        <f aca="false">F129+G129+H129</f>
        <v>1259</v>
      </c>
    </row>
    <row r="130" customFormat="false" ht="12.8" hidden="false" customHeight="false" outlineLevel="0" collapsed="false">
      <c r="A130" s="2" t="s">
        <v>233</v>
      </c>
      <c r="B130" s="2" t="s">
        <v>211</v>
      </c>
      <c r="C130" s="2" t="s">
        <v>222</v>
      </c>
      <c r="D130" s="2" t="n">
        <v>754</v>
      </c>
      <c r="E130" s="2" t="n">
        <v>55</v>
      </c>
      <c r="F130" s="2" t="n">
        <v>566</v>
      </c>
      <c r="G130" s="2" t="n">
        <v>463</v>
      </c>
      <c r="H130" s="2" t="n">
        <v>437</v>
      </c>
      <c r="I130" s="2" t="n">
        <v>467</v>
      </c>
      <c r="J130" s="2" t="n">
        <v>315</v>
      </c>
      <c r="K130" s="2" t="n">
        <v>1005</v>
      </c>
      <c r="L130" s="2" t="n">
        <v>253</v>
      </c>
      <c r="M130" s="2" t="n">
        <v>166</v>
      </c>
      <c r="N130" s="2" t="n">
        <v>540</v>
      </c>
      <c r="O130" s="2" t="n">
        <v>983</v>
      </c>
      <c r="Q130" s="2" t="n">
        <f aca="false">F130+G130+H130</f>
        <v>1466</v>
      </c>
    </row>
    <row r="131" customFormat="false" ht="12.8" hidden="false" customHeight="false" outlineLevel="0" collapsed="false">
      <c r="A131" s="2" t="s">
        <v>233</v>
      </c>
      <c r="B131" s="2" t="s">
        <v>211</v>
      </c>
      <c r="C131" s="2" t="s">
        <v>223</v>
      </c>
      <c r="D131" s="2" t="n">
        <v>1072</v>
      </c>
      <c r="E131" s="2" t="n">
        <v>77</v>
      </c>
      <c r="F131" s="2" t="n">
        <v>574</v>
      </c>
      <c r="G131" s="2" t="n">
        <v>637</v>
      </c>
      <c r="H131" s="2" t="n">
        <v>656</v>
      </c>
      <c r="I131" s="2" t="n">
        <v>488</v>
      </c>
      <c r="J131" s="2" t="n">
        <v>354</v>
      </c>
      <c r="K131" s="2" t="n">
        <v>1495</v>
      </c>
      <c r="L131" s="2" t="n">
        <v>261</v>
      </c>
      <c r="M131" s="2" t="n">
        <v>162</v>
      </c>
      <c r="N131" s="2" t="n">
        <v>851</v>
      </c>
      <c r="O131" s="2" t="n">
        <v>1318</v>
      </c>
      <c r="Q131" s="2" t="n">
        <f aca="false">F131+G131+H131</f>
        <v>1867</v>
      </c>
    </row>
    <row r="132" customFormat="false" ht="12.8" hidden="false" customHeight="false" outlineLevel="0" collapsed="false">
      <c r="A132" s="2" t="s">
        <v>233</v>
      </c>
      <c r="B132" s="2" t="s">
        <v>211</v>
      </c>
      <c r="C132" s="2" t="s">
        <v>224</v>
      </c>
      <c r="D132" s="2" t="n">
        <v>1018</v>
      </c>
      <c r="E132" s="2" t="n">
        <v>73</v>
      </c>
      <c r="F132" s="2" t="n">
        <v>690</v>
      </c>
      <c r="G132" s="2" t="n">
        <v>536</v>
      </c>
      <c r="H132" s="2" t="n">
        <v>743</v>
      </c>
      <c r="I132" s="2" t="n">
        <v>478</v>
      </c>
      <c r="J132" s="2" t="n">
        <v>412</v>
      </c>
      <c r="K132" s="2" t="n">
        <v>1533</v>
      </c>
      <c r="L132" s="2" t="n">
        <v>229</v>
      </c>
      <c r="M132" s="2" t="n">
        <v>168</v>
      </c>
      <c r="N132" s="2" t="n">
        <v>981</v>
      </c>
      <c r="O132" s="2" t="n">
        <v>1242</v>
      </c>
      <c r="Q132" s="2" t="n">
        <f aca="false">F132+G132+H132</f>
        <v>1969</v>
      </c>
    </row>
    <row r="133" customFormat="false" ht="12.8" hidden="false" customHeight="false" outlineLevel="0" collapsed="false">
      <c r="A133" s="2" t="s">
        <v>234</v>
      </c>
      <c r="B133" s="2" t="s">
        <v>211</v>
      </c>
      <c r="C133" s="2" t="s">
        <v>212</v>
      </c>
      <c r="D133" s="2" t="n">
        <v>2878</v>
      </c>
      <c r="E133" s="2" t="n">
        <v>0</v>
      </c>
      <c r="F133" s="2" t="n">
        <v>258</v>
      </c>
      <c r="G133" s="2" t="n">
        <v>1827</v>
      </c>
      <c r="H133" s="2" t="n">
        <v>1449</v>
      </c>
      <c r="I133" s="2" t="n">
        <v>1969</v>
      </c>
      <c r="J133" s="2" t="n">
        <v>558</v>
      </c>
      <c r="K133" s="2" t="n">
        <v>3751</v>
      </c>
      <c r="L133" s="2" t="n">
        <v>182</v>
      </c>
      <c r="M133" s="2" t="n">
        <v>773</v>
      </c>
      <c r="N133" s="2" t="n">
        <v>189</v>
      </c>
      <c r="O133" s="2" t="n">
        <v>2594</v>
      </c>
      <c r="Q133" s="2" t="n">
        <f aca="false">F133+G133+H133</f>
        <v>3534</v>
      </c>
    </row>
    <row r="134" customFormat="false" ht="12.8" hidden="false" customHeight="false" outlineLevel="0" collapsed="false">
      <c r="A134" s="2" t="s">
        <v>234</v>
      </c>
      <c r="B134" s="2" t="s">
        <v>211</v>
      </c>
      <c r="C134" s="2" t="s">
        <v>213</v>
      </c>
      <c r="D134" s="2" t="n">
        <v>3207</v>
      </c>
      <c r="E134" s="2" t="n">
        <v>0</v>
      </c>
      <c r="F134" s="2" t="n">
        <v>177</v>
      </c>
      <c r="G134" s="2" t="n">
        <v>2282</v>
      </c>
      <c r="H134" s="2" t="n">
        <v>1542</v>
      </c>
      <c r="I134" s="2" t="n">
        <v>2233</v>
      </c>
      <c r="J134" s="2" t="n">
        <v>637</v>
      </c>
      <c r="K134" s="2" t="n">
        <v>3283</v>
      </c>
      <c r="L134" s="2" t="n">
        <v>106</v>
      </c>
      <c r="M134" s="2" t="n">
        <v>764</v>
      </c>
      <c r="N134" s="2" t="n">
        <v>304</v>
      </c>
      <c r="O134" s="2" t="n">
        <v>3012</v>
      </c>
      <c r="Q134" s="2" t="n">
        <f aca="false">F134+G134+H134</f>
        <v>4001</v>
      </c>
    </row>
    <row r="135" customFormat="false" ht="12.8" hidden="false" customHeight="false" outlineLevel="0" collapsed="false">
      <c r="A135" s="2" t="s">
        <v>234</v>
      </c>
      <c r="B135" s="2" t="s">
        <v>211</v>
      </c>
      <c r="C135" s="2" t="s">
        <v>214</v>
      </c>
      <c r="D135" s="2" t="n">
        <v>3233</v>
      </c>
      <c r="E135" s="2" t="n">
        <v>0</v>
      </c>
      <c r="F135" s="2" t="n">
        <v>276</v>
      </c>
      <c r="G135" s="2" t="n">
        <v>2000</v>
      </c>
      <c r="H135" s="2" t="n">
        <v>1894</v>
      </c>
      <c r="I135" s="2" t="n">
        <v>2311</v>
      </c>
      <c r="J135" s="2" t="n">
        <v>605</v>
      </c>
      <c r="K135" s="2" t="n">
        <v>3170</v>
      </c>
      <c r="L135" s="2" t="n">
        <v>116</v>
      </c>
      <c r="M135" s="2" t="n">
        <v>1064</v>
      </c>
      <c r="N135" s="2" t="n">
        <v>384</v>
      </c>
      <c r="O135" s="2" t="n">
        <v>2888</v>
      </c>
      <c r="Q135" s="2" t="n">
        <f aca="false">F135+G135+H135</f>
        <v>4170</v>
      </c>
    </row>
    <row r="136" customFormat="false" ht="12.8" hidden="false" customHeight="false" outlineLevel="0" collapsed="false">
      <c r="A136" s="2" t="s">
        <v>234</v>
      </c>
      <c r="B136" s="2" t="s">
        <v>211</v>
      </c>
      <c r="C136" s="2" t="s">
        <v>215</v>
      </c>
      <c r="D136" s="2" t="n">
        <v>3448</v>
      </c>
      <c r="E136" s="2" t="n">
        <v>0</v>
      </c>
      <c r="F136" s="2" t="n">
        <v>272</v>
      </c>
      <c r="G136" s="2" t="n">
        <v>2266</v>
      </c>
      <c r="H136" s="2" t="n">
        <v>1747</v>
      </c>
      <c r="I136" s="2" t="n">
        <v>2239</v>
      </c>
      <c r="J136" s="2" t="n">
        <v>691</v>
      </c>
      <c r="K136" s="2" t="n">
        <v>3445</v>
      </c>
      <c r="L136" s="2" t="n">
        <v>91</v>
      </c>
      <c r="M136" s="2" t="n">
        <v>958</v>
      </c>
      <c r="N136" s="2" t="n">
        <v>421</v>
      </c>
      <c r="O136" s="2" t="n">
        <v>3127</v>
      </c>
      <c r="Q136" s="2" t="n">
        <f aca="false">F136+G136+H136</f>
        <v>4285</v>
      </c>
    </row>
    <row r="137" customFormat="false" ht="12.8" hidden="false" customHeight="false" outlineLevel="0" collapsed="false">
      <c r="A137" s="2" t="s">
        <v>234</v>
      </c>
      <c r="B137" s="2" t="s">
        <v>211</v>
      </c>
      <c r="C137" s="2" t="s">
        <v>216</v>
      </c>
      <c r="D137" s="2" t="n">
        <v>3329</v>
      </c>
      <c r="E137" s="2" t="n">
        <v>0</v>
      </c>
      <c r="F137" s="2" t="n">
        <v>178</v>
      </c>
      <c r="G137" s="2" t="n">
        <v>2292</v>
      </c>
      <c r="H137" s="2" t="n">
        <v>1820</v>
      </c>
      <c r="I137" s="2" t="n">
        <v>2266</v>
      </c>
      <c r="J137" s="2" t="n">
        <v>676</v>
      </c>
      <c r="K137" s="2" t="n">
        <v>3289</v>
      </c>
      <c r="L137" s="2" t="n">
        <v>94</v>
      </c>
      <c r="M137" s="2" t="n">
        <v>1206</v>
      </c>
      <c r="N137" s="2" t="n">
        <v>364</v>
      </c>
      <c r="O137" s="2" t="n">
        <v>3063</v>
      </c>
      <c r="Q137" s="2" t="n">
        <f aca="false">F137+G137+H137</f>
        <v>4290</v>
      </c>
    </row>
    <row r="138" customFormat="false" ht="12.8" hidden="false" customHeight="false" outlineLevel="0" collapsed="false">
      <c r="A138" s="2" t="s">
        <v>234</v>
      </c>
      <c r="B138" s="2" t="s">
        <v>211</v>
      </c>
      <c r="C138" s="2" t="s">
        <v>217</v>
      </c>
      <c r="D138" s="2" t="n">
        <v>3056</v>
      </c>
      <c r="E138" s="2" t="n">
        <v>0</v>
      </c>
      <c r="F138" s="2" t="n">
        <v>207</v>
      </c>
      <c r="G138" s="2" t="n">
        <v>2013</v>
      </c>
      <c r="H138" s="2" t="n">
        <v>1571</v>
      </c>
      <c r="I138" s="2" t="n">
        <v>1932</v>
      </c>
      <c r="J138" s="2" t="n">
        <v>651</v>
      </c>
      <c r="K138" s="2" t="n">
        <v>3660</v>
      </c>
      <c r="L138" s="2" t="n">
        <v>234</v>
      </c>
      <c r="M138" s="2" t="n">
        <v>819</v>
      </c>
      <c r="N138" s="2" t="n">
        <v>195</v>
      </c>
      <c r="O138" s="2" t="n">
        <v>3026</v>
      </c>
      <c r="Q138" s="2" t="n">
        <f aca="false">F138+G138+H138</f>
        <v>3791</v>
      </c>
    </row>
    <row r="139" customFormat="false" ht="12.8" hidden="false" customHeight="false" outlineLevel="0" collapsed="false">
      <c r="A139" s="2" t="s">
        <v>234</v>
      </c>
      <c r="B139" s="2" t="s">
        <v>211</v>
      </c>
      <c r="C139" s="2" t="s">
        <v>218</v>
      </c>
      <c r="D139" s="2" t="n">
        <v>3089</v>
      </c>
      <c r="E139" s="2" t="n">
        <v>0</v>
      </c>
      <c r="F139" s="2" t="n">
        <v>251</v>
      </c>
      <c r="G139" s="2" t="n">
        <v>1857</v>
      </c>
      <c r="H139" s="2" t="n">
        <v>1688</v>
      </c>
      <c r="I139" s="2" t="n">
        <v>2156</v>
      </c>
      <c r="J139" s="2" t="n">
        <v>756</v>
      </c>
      <c r="K139" s="2" t="n">
        <v>3277</v>
      </c>
      <c r="L139" s="2" t="n">
        <v>248</v>
      </c>
      <c r="M139" s="2" t="n">
        <v>704</v>
      </c>
      <c r="N139" s="2" t="n">
        <v>198</v>
      </c>
      <c r="O139" s="2" t="n">
        <v>2894</v>
      </c>
      <c r="Q139" s="2" t="n">
        <f aca="false">F139+G139+H139</f>
        <v>3796</v>
      </c>
    </row>
    <row r="140" customFormat="false" ht="12.8" hidden="false" customHeight="false" outlineLevel="0" collapsed="false">
      <c r="A140" s="2" t="s">
        <v>234</v>
      </c>
      <c r="B140" s="2" t="s">
        <v>211</v>
      </c>
      <c r="C140" s="2" t="s">
        <v>219</v>
      </c>
      <c r="D140" s="2" t="n">
        <v>2993</v>
      </c>
      <c r="E140" s="2" t="n">
        <v>0</v>
      </c>
      <c r="F140" s="2" t="n">
        <v>199</v>
      </c>
      <c r="G140" s="2" t="n">
        <v>1918</v>
      </c>
      <c r="H140" s="2" t="n">
        <v>1627</v>
      </c>
      <c r="I140" s="2" t="n">
        <v>2134</v>
      </c>
      <c r="J140" s="2" t="n">
        <v>653</v>
      </c>
      <c r="K140" s="2" t="n">
        <v>3166</v>
      </c>
      <c r="L140" s="2" t="n">
        <v>195</v>
      </c>
      <c r="M140" s="2" t="n">
        <v>751</v>
      </c>
      <c r="N140" s="2" t="n">
        <v>200</v>
      </c>
      <c r="O140" s="2" t="n">
        <v>3040</v>
      </c>
      <c r="Q140" s="2" t="n">
        <f aca="false">F140+G140+H140</f>
        <v>3744</v>
      </c>
    </row>
    <row r="141" customFormat="false" ht="12.8" hidden="false" customHeight="false" outlineLevel="0" collapsed="false">
      <c r="A141" s="2" t="s">
        <v>234</v>
      </c>
      <c r="B141" s="2" t="s">
        <v>211</v>
      </c>
      <c r="C141" s="2" t="s">
        <v>220</v>
      </c>
      <c r="D141" s="2" t="n">
        <v>3202</v>
      </c>
      <c r="E141" s="2" t="n">
        <v>0</v>
      </c>
      <c r="F141" s="2" t="n">
        <v>257</v>
      </c>
      <c r="G141" s="2" t="n">
        <v>2006</v>
      </c>
      <c r="H141" s="2" t="n">
        <v>1720</v>
      </c>
      <c r="I141" s="2" t="n">
        <v>2319</v>
      </c>
      <c r="J141" s="2" t="n">
        <v>625</v>
      </c>
      <c r="K141" s="2" t="n">
        <v>3383</v>
      </c>
      <c r="L141" s="2" t="n">
        <v>167</v>
      </c>
      <c r="M141" s="2" t="n">
        <v>827</v>
      </c>
      <c r="N141" s="2" t="n">
        <v>222</v>
      </c>
      <c r="O141" s="2" t="n">
        <v>3257</v>
      </c>
      <c r="Q141" s="2" t="n">
        <f aca="false">F141+G141+H141</f>
        <v>3983</v>
      </c>
    </row>
    <row r="142" customFormat="false" ht="12.8" hidden="false" customHeight="false" outlineLevel="0" collapsed="false">
      <c r="A142" s="2" t="s">
        <v>234</v>
      </c>
      <c r="B142" s="2" t="s">
        <v>211</v>
      </c>
      <c r="C142" s="2" t="s">
        <v>221</v>
      </c>
      <c r="D142" s="2" t="n">
        <v>2947</v>
      </c>
      <c r="E142" s="2" t="n">
        <v>0</v>
      </c>
      <c r="F142" s="2" t="n">
        <v>201</v>
      </c>
      <c r="G142" s="2" t="n">
        <v>1920</v>
      </c>
      <c r="H142" s="2" t="n">
        <v>1612</v>
      </c>
      <c r="I142" s="2" t="n">
        <v>2014</v>
      </c>
      <c r="J142" s="2" t="n">
        <v>790</v>
      </c>
      <c r="K142" s="2" t="n">
        <v>3129</v>
      </c>
      <c r="L142" s="2" t="n">
        <v>172</v>
      </c>
      <c r="M142" s="2" t="n">
        <v>552</v>
      </c>
      <c r="N142" s="2" t="n">
        <v>240</v>
      </c>
      <c r="O142" s="2" t="n">
        <v>2851</v>
      </c>
      <c r="Q142" s="2" t="n">
        <f aca="false">F142+G142+H142</f>
        <v>3733</v>
      </c>
    </row>
    <row r="143" customFormat="false" ht="12.8" hidden="false" customHeight="false" outlineLevel="0" collapsed="false">
      <c r="A143" s="2" t="s">
        <v>234</v>
      </c>
      <c r="B143" s="2" t="s">
        <v>211</v>
      </c>
      <c r="C143" s="2" t="s">
        <v>222</v>
      </c>
      <c r="D143" s="2" t="n">
        <v>2967</v>
      </c>
      <c r="E143" s="2" t="n">
        <v>0</v>
      </c>
      <c r="F143" s="2" t="n">
        <v>263</v>
      </c>
      <c r="G143" s="2" t="n">
        <v>1984</v>
      </c>
      <c r="H143" s="2" t="n">
        <v>1692</v>
      </c>
      <c r="I143" s="2" t="n">
        <v>2119</v>
      </c>
      <c r="J143" s="2" t="n">
        <v>715</v>
      </c>
      <c r="K143" s="2" t="n">
        <v>3186</v>
      </c>
      <c r="L143" s="2" t="n">
        <v>157</v>
      </c>
      <c r="M143" s="2" t="n">
        <v>642</v>
      </c>
      <c r="N143" s="2" t="n">
        <v>337</v>
      </c>
      <c r="O143" s="2" t="n">
        <v>2965</v>
      </c>
      <c r="Q143" s="2" t="n">
        <f aca="false">F143+G143+H143</f>
        <v>3939</v>
      </c>
    </row>
    <row r="144" customFormat="false" ht="12.8" hidden="false" customHeight="false" outlineLevel="0" collapsed="false">
      <c r="A144" s="2" t="s">
        <v>234</v>
      </c>
      <c r="B144" s="2" t="s">
        <v>211</v>
      </c>
      <c r="C144" s="2" t="s">
        <v>223</v>
      </c>
      <c r="D144" s="2" t="n">
        <v>2871</v>
      </c>
      <c r="E144" s="2" t="n">
        <v>0</v>
      </c>
      <c r="F144" s="2" t="n">
        <v>235</v>
      </c>
      <c r="G144" s="2" t="n">
        <v>1892</v>
      </c>
      <c r="H144" s="2" t="n">
        <v>1581</v>
      </c>
      <c r="I144" s="2" t="n">
        <v>2245</v>
      </c>
      <c r="J144" s="2" t="n">
        <v>608</v>
      </c>
      <c r="K144" s="2" t="n">
        <v>2928</v>
      </c>
      <c r="L144" s="2" t="n">
        <v>121</v>
      </c>
      <c r="M144" s="2" t="n">
        <v>546</v>
      </c>
      <c r="N144" s="2" t="n">
        <v>317</v>
      </c>
      <c r="O144" s="2" t="n">
        <v>2753</v>
      </c>
      <c r="Q144" s="2" t="n">
        <f aca="false">F144+G144+H144</f>
        <v>3708</v>
      </c>
    </row>
    <row r="145" customFormat="false" ht="12.8" hidden="false" customHeight="false" outlineLevel="0" collapsed="false">
      <c r="A145" s="2" t="s">
        <v>234</v>
      </c>
      <c r="B145" s="2" t="s">
        <v>211</v>
      </c>
      <c r="C145" s="2" t="s">
        <v>224</v>
      </c>
      <c r="D145" s="2" t="n">
        <v>2974</v>
      </c>
      <c r="E145" s="2" t="n">
        <v>0</v>
      </c>
      <c r="F145" s="2" t="n">
        <v>265</v>
      </c>
      <c r="G145" s="2" t="n">
        <v>1943</v>
      </c>
      <c r="H145" s="2" t="n">
        <v>1602</v>
      </c>
      <c r="I145" s="2" t="n">
        <v>2251</v>
      </c>
      <c r="J145" s="2" t="n">
        <v>559</v>
      </c>
      <c r="K145" s="2" t="n">
        <v>3080</v>
      </c>
      <c r="L145" s="2" t="n">
        <v>132</v>
      </c>
      <c r="M145" s="2" t="n">
        <v>698</v>
      </c>
      <c r="N145" s="2" t="n">
        <v>294</v>
      </c>
      <c r="O145" s="2" t="n">
        <v>2909</v>
      </c>
      <c r="Q145" s="2" t="n">
        <f aca="false">F145+G145+H145</f>
        <v>3810</v>
      </c>
    </row>
    <row r="146" customFormat="false" ht="12.8" hidden="false" customHeight="false" outlineLevel="0" collapsed="false">
      <c r="A146" s="2" t="s">
        <v>235</v>
      </c>
      <c r="B146" s="2" t="s">
        <v>211</v>
      </c>
      <c r="C146" s="2" t="s">
        <v>212</v>
      </c>
      <c r="D146" s="2" t="n">
        <v>1234</v>
      </c>
      <c r="E146" s="2" t="n">
        <v>0</v>
      </c>
      <c r="F146" s="2" t="n">
        <v>557</v>
      </c>
      <c r="G146" s="2" t="n">
        <v>477</v>
      </c>
      <c r="H146" s="2" t="n">
        <v>495</v>
      </c>
      <c r="I146" s="2" t="n">
        <v>402</v>
      </c>
      <c r="J146" s="2" t="n">
        <v>709</v>
      </c>
      <c r="K146" s="2" t="n">
        <v>1419</v>
      </c>
      <c r="L146" s="2" t="n">
        <v>0</v>
      </c>
      <c r="M146" s="2" t="n">
        <v>195</v>
      </c>
      <c r="N146" s="2" t="n">
        <v>313</v>
      </c>
      <c r="O146" s="2" t="n">
        <v>425</v>
      </c>
      <c r="Q146" s="2" t="n">
        <f aca="false">F146+G146+H146</f>
        <v>1529</v>
      </c>
    </row>
    <row r="147" customFormat="false" ht="12.8" hidden="false" customHeight="false" outlineLevel="0" collapsed="false">
      <c r="A147" s="2" t="s">
        <v>235</v>
      </c>
      <c r="B147" s="2" t="s">
        <v>211</v>
      </c>
      <c r="C147" s="2" t="s">
        <v>213</v>
      </c>
      <c r="D147" s="2" t="n">
        <v>1564</v>
      </c>
      <c r="E147" s="2" t="n">
        <v>0</v>
      </c>
      <c r="F147" s="2" t="n">
        <v>499</v>
      </c>
      <c r="G147" s="2" t="n">
        <v>818</v>
      </c>
      <c r="H147" s="2" t="n">
        <v>617</v>
      </c>
      <c r="I147" s="2" t="n">
        <v>544</v>
      </c>
      <c r="J147" s="2" t="n">
        <v>650</v>
      </c>
      <c r="K147" s="2" t="n">
        <v>1365</v>
      </c>
      <c r="L147" s="2" t="n">
        <v>0</v>
      </c>
      <c r="M147" s="2" t="n">
        <v>154</v>
      </c>
      <c r="N147" s="2" t="n">
        <v>146</v>
      </c>
      <c r="O147" s="2" t="n">
        <v>798</v>
      </c>
      <c r="Q147" s="2" t="n">
        <f aca="false">F147+G147+H147</f>
        <v>1934</v>
      </c>
    </row>
    <row r="148" customFormat="false" ht="12.8" hidden="false" customHeight="false" outlineLevel="0" collapsed="false">
      <c r="A148" s="2" t="s">
        <v>235</v>
      </c>
      <c r="B148" s="2" t="s">
        <v>211</v>
      </c>
      <c r="C148" s="2" t="s">
        <v>214</v>
      </c>
      <c r="D148" s="2" t="n">
        <v>1829</v>
      </c>
      <c r="E148" s="2" t="n">
        <v>0</v>
      </c>
      <c r="F148" s="2" t="n">
        <v>674</v>
      </c>
      <c r="G148" s="2" t="n">
        <v>906</v>
      </c>
      <c r="H148" s="2" t="n">
        <v>832</v>
      </c>
      <c r="I148" s="2" t="n">
        <v>831</v>
      </c>
      <c r="J148" s="2" t="n">
        <v>871</v>
      </c>
      <c r="K148" s="2" t="n">
        <v>1554</v>
      </c>
      <c r="L148" s="2" t="n">
        <v>0</v>
      </c>
      <c r="M148" s="2" t="n">
        <v>258</v>
      </c>
      <c r="N148" s="2" t="n">
        <v>161</v>
      </c>
      <c r="O148" s="2" t="n">
        <v>1061</v>
      </c>
      <c r="Q148" s="2" t="n">
        <f aca="false">F148+G148+H148</f>
        <v>2412</v>
      </c>
    </row>
    <row r="149" customFormat="false" ht="12.8" hidden="false" customHeight="false" outlineLevel="0" collapsed="false">
      <c r="A149" s="2" t="s">
        <v>235</v>
      </c>
      <c r="B149" s="2" t="s">
        <v>211</v>
      </c>
      <c r="C149" s="2" t="s">
        <v>215</v>
      </c>
      <c r="D149" s="2" t="n">
        <v>1906</v>
      </c>
      <c r="E149" s="2" t="n">
        <v>0</v>
      </c>
      <c r="F149" s="2" t="n">
        <v>515</v>
      </c>
      <c r="G149" s="2" t="n">
        <v>986</v>
      </c>
      <c r="H149" s="2" t="n">
        <v>919</v>
      </c>
      <c r="I149" s="2" t="n">
        <v>688</v>
      </c>
      <c r="J149" s="2" t="n">
        <v>825</v>
      </c>
      <c r="K149" s="2" t="n">
        <v>1785</v>
      </c>
      <c r="L149" s="2" t="n">
        <v>0</v>
      </c>
      <c r="M149" s="2" t="n">
        <v>232</v>
      </c>
      <c r="N149" s="2" t="n">
        <v>181</v>
      </c>
      <c r="O149" s="2" t="n">
        <v>1300</v>
      </c>
      <c r="Q149" s="2" t="n">
        <f aca="false">F149+G149+H149</f>
        <v>2420</v>
      </c>
    </row>
    <row r="150" customFormat="false" ht="12.8" hidden="false" customHeight="false" outlineLevel="0" collapsed="false">
      <c r="A150" s="2" t="s">
        <v>235</v>
      </c>
      <c r="B150" s="2" t="s">
        <v>211</v>
      </c>
      <c r="C150" s="2" t="s">
        <v>216</v>
      </c>
      <c r="D150" s="2" t="n">
        <v>2141</v>
      </c>
      <c r="E150" s="2" t="n">
        <v>0</v>
      </c>
      <c r="F150" s="2" t="n">
        <v>623</v>
      </c>
      <c r="G150" s="2" t="n">
        <v>1195</v>
      </c>
      <c r="H150" s="2" t="n">
        <v>979</v>
      </c>
      <c r="I150" s="2" t="n">
        <v>1011</v>
      </c>
      <c r="J150" s="2" t="n">
        <v>918</v>
      </c>
      <c r="K150" s="2" t="n">
        <v>1903</v>
      </c>
      <c r="L150" s="2" t="n">
        <v>0</v>
      </c>
      <c r="M150" s="2" t="n">
        <v>301</v>
      </c>
      <c r="N150" s="2" t="n">
        <v>143</v>
      </c>
      <c r="O150" s="2" t="n">
        <v>1358</v>
      </c>
      <c r="Q150" s="2" t="n">
        <f aca="false">F150+G150+H150</f>
        <v>2797</v>
      </c>
    </row>
    <row r="151" customFormat="false" ht="12.8" hidden="false" customHeight="false" outlineLevel="0" collapsed="false">
      <c r="A151" s="2" t="s">
        <v>235</v>
      </c>
      <c r="B151" s="2" t="s">
        <v>211</v>
      </c>
      <c r="C151" s="2" t="s">
        <v>217</v>
      </c>
      <c r="D151" s="2" t="n">
        <v>1287</v>
      </c>
      <c r="E151" s="2" t="n">
        <v>0</v>
      </c>
      <c r="F151" s="2" t="n">
        <v>567</v>
      </c>
      <c r="G151" s="2" t="n">
        <v>482</v>
      </c>
      <c r="H151" s="2" t="n">
        <v>580</v>
      </c>
      <c r="I151" s="2" t="n">
        <v>501</v>
      </c>
      <c r="J151" s="2" t="n">
        <v>1000</v>
      </c>
      <c r="K151" s="2" t="n">
        <v>1084</v>
      </c>
      <c r="L151" s="2" t="n">
        <v>0</v>
      </c>
      <c r="M151" s="2" t="n">
        <v>184</v>
      </c>
      <c r="N151" s="2" t="n">
        <v>317</v>
      </c>
      <c r="O151" s="2" t="n">
        <v>627</v>
      </c>
      <c r="Q151" s="2" t="n">
        <f aca="false">F151+G151+H151</f>
        <v>1629</v>
      </c>
    </row>
    <row r="152" customFormat="false" ht="12.8" hidden="false" customHeight="false" outlineLevel="0" collapsed="false">
      <c r="A152" s="2" t="s">
        <v>235</v>
      </c>
      <c r="B152" s="2" t="s">
        <v>211</v>
      </c>
      <c r="C152" s="2" t="s">
        <v>218</v>
      </c>
      <c r="D152" s="2" t="n">
        <v>1292</v>
      </c>
      <c r="E152" s="2" t="n">
        <v>0</v>
      </c>
      <c r="F152" s="2" t="n">
        <v>523</v>
      </c>
      <c r="G152" s="2" t="n">
        <v>492</v>
      </c>
      <c r="H152" s="2" t="n">
        <v>639</v>
      </c>
      <c r="I152" s="2" t="n">
        <v>483</v>
      </c>
      <c r="J152" s="2" t="n">
        <v>1066</v>
      </c>
      <c r="K152" s="2" t="n">
        <v>999</v>
      </c>
      <c r="L152" s="2" t="n">
        <v>0</v>
      </c>
      <c r="M152" s="2" t="n">
        <v>235</v>
      </c>
      <c r="N152" s="2" t="n">
        <v>310</v>
      </c>
      <c r="O152" s="2" t="n">
        <v>496</v>
      </c>
      <c r="Q152" s="2" t="n">
        <f aca="false">F152+G152+H152</f>
        <v>1654</v>
      </c>
    </row>
    <row r="153" customFormat="false" ht="12.8" hidden="false" customHeight="false" outlineLevel="0" collapsed="false">
      <c r="A153" s="2" t="s">
        <v>235</v>
      </c>
      <c r="B153" s="2" t="s">
        <v>211</v>
      </c>
      <c r="C153" s="2" t="s">
        <v>219</v>
      </c>
      <c r="D153" s="2" t="n">
        <v>1181</v>
      </c>
      <c r="E153" s="2" t="n">
        <v>0</v>
      </c>
      <c r="F153" s="2" t="n">
        <v>444</v>
      </c>
      <c r="G153" s="2" t="n">
        <v>486</v>
      </c>
      <c r="H153" s="2" t="n">
        <v>547</v>
      </c>
      <c r="I153" s="2" t="n">
        <v>397</v>
      </c>
      <c r="J153" s="2" t="n">
        <v>847</v>
      </c>
      <c r="K153" s="2" t="n">
        <v>1006</v>
      </c>
      <c r="L153" s="2" t="n">
        <v>0</v>
      </c>
      <c r="M153" s="2" t="n">
        <v>212</v>
      </c>
      <c r="N153" s="2" t="n">
        <v>317</v>
      </c>
      <c r="O153" s="2" t="n">
        <v>449</v>
      </c>
      <c r="Q153" s="2" t="n">
        <f aca="false">F153+G153+H153</f>
        <v>1477</v>
      </c>
    </row>
    <row r="154" customFormat="false" ht="12.8" hidden="false" customHeight="false" outlineLevel="0" collapsed="false">
      <c r="A154" s="2" t="s">
        <v>235</v>
      </c>
      <c r="B154" s="2" t="s">
        <v>211</v>
      </c>
      <c r="C154" s="2" t="s">
        <v>220</v>
      </c>
      <c r="D154" s="2" t="n">
        <v>1276</v>
      </c>
      <c r="E154" s="2" t="n">
        <v>0</v>
      </c>
      <c r="F154" s="2" t="n">
        <v>456</v>
      </c>
      <c r="G154" s="2" t="n">
        <v>555</v>
      </c>
      <c r="H154" s="2" t="n">
        <v>603</v>
      </c>
      <c r="I154" s="2" t="n">
        <v>494</v>
      </c>
      <c r="J154" s="2" t="n">
        <v>755</v>
      </c>
      <c r="K154" s="2" t="n">
        <v>1123</v>
      </c>
      <c r="L154" s="2" t="n">
        <v>0</v>
      </c>
      <c r="M154" s="2" t="n">
        <v>219</v>
      </c>
      <c r="N154" s="2" t="n">
        <v>194</v>
      </c>
      <c r="O154" s="2" t="n">
        <v>579</v>
      </c>
      <c r="Q154" s="2" t="n">
        <f aca="false">F154+G154+H154</f>
        <v>1614</v>
      </c>
    </row>
    <row r="155" customFormat="false" ht="12.8" hidden="false" customHeight="false" outlineLevel="0" collapsed="false">
      <c r="A155" s="2" t="s">
        <v>235</v>
      </c>
      <c r="B155" s="2" t="s">
        <v>211</v>
      </c>
      <c r="C155" s="2" t="s">
        <v>221</v>
      </c>
      <c r="D155" s="2" t="n">
        <v>1380</v>
      </c>
      <c r="E155" s="2" t="n">
        <v>0</v>
      </c>
      <c r="F155" s="2" t="n">
        <v>491</v>
      </c>
      <c r="G155" s="2" t="n">
        <v>645</v>
      </c>
      <c r="H155" s="2" t="n">
        <v>618</v>
      </c>
      <c r="I155" s="2" t="n">
        <v>677</v>
      </c>
      <c r="J155" s="2" t="n">
        <v>661</v>
      </c>
      <c r="K155" s="2" t="n">
        <v>1136</v>
      </c>
      <c r="L155" s="2" t="n">
        <v>0</v>
      </c>
      <c r="M155" s="2" t="n">
        <v>200</v>
      </c>
      <c r="N155" s="2" t="n">
        <v>234</v>
      </c>
      <c r="O155" s="2" t="n">
        <v>639</v>
      </c>
      <c r="Q155" s="2" t="n">
        <f aca="false">F155+G155+H155</f>
        <v>1754</v>
      </c>
    </row>
    <row r="156" customFormat="false" ht="12.8" hidden="false" customHeight="false" outlineLevel="0" collapsed="false">
      <c r="A156" s="2" t="s">
        <v>235</v>
      </c>
      <c r="B156" s="2" t="s">
        <v>211</v>
      </c>
      <c r="C156" s="2" t="s">
        <v>222</v>
      </c>
      <c r="D156" s="2" t="n">
        <v>1437</v>
      </c>
      <c r="E156" s="2" t="n">
        <v>0</v>
      </c>
      <c r="F156" s="2" t="n">
        <v>546</v>
      </c>
      <c r="G156" s="2" t="n">
        <v>534</v>
      </c>
      <c r="H156" s="2" t="n">
        <v>775</v>
      </c>
      <c r="I156" s="2" t="n">
        <v>691</v>
      </c>
      <c r="J156" s="2" t="n">
        <v>784</v>
      </c>
      <c r="K156" s="2" t="n">
        <v>1184</v>
      </c>
      <c r="L156" s="2" t="n">
        <v>0</v>
      </c>
      <c r="M156" s="2" t="n">
        <v>228</v>
      </c>
      <c r="N156" s="2" t="n">
        <v>231</v>
      </c>
      <c r="O156" s="2" t="n">
        <v>633</v>
      </c>
      <c r="Q156" s="2" t="n">
        <f aca="false">F156+G156+H156</f>
        <v>1855</v>
      </c>
    </row>
    <row r="157" customFormat="false" ht="12.8" hidden="false" customHeight="false" outlineLevel="0" collapsed="false">
      <c r="A157" s="2" t="s">
        <v>235</v>
      </c>
      <c r="B157" s="2" t="s">
        <v>211</v>
      </c>
      <c r="C157" s="2" t="s">
        <v>223</v>
      </c>
      <c r="D157" s="2" t="n">
        <v>1483</v>
      </c>
      <c r="E157" s="2" t="n">
        <v>0</v>
      </c>
      <c r="F157" s="2" t="n">
        <v>586</v>
      </c>
      <c r="G157" s="2" t="n">
        <v>609</v>
      </c>
      <c r="H157" s="2" t="n">
        <v>712</v>
      </c>
      <c r="I157" s="2" t="n">
        <v>588</v>
      </c>
      <c r="J157" s="2" t="n">
        <v>680</v>
      </c>
      <c r="K157" s="2" t="n">
        <v>1253</v>
      </c>
      <c r="L157" s="2" t="n">
        <v>0</v>
      </c>
      <c r="M157" s="2" t="n">
        <v>262</v>
      </c>
      <c r="N157" s="2" t="n">
        <v>246</v>
      </c>
      <c r="O157" s="2" t="n">
        <v>683</v>
      </c>
      <c r="Q157" s="2" t="n">
        <f aca="false">F157+G157+H157</f>
        <v>1907</v>
      </c>
    </row>
    <row r="158" customFormat="false" ht="12.8" hidden="false" customHeight="false" outlineLevel="0" collapsed="false">
      <c r="A158" s="2" t="s">
        <v>235</v>
      </c>
      <c r="B158" s="2" t="s">
        <v>211</v>
      </c>
      <c r="C158" s="2" t="s">
        <v>224</v>
      </c>
      <c r="D158" s="2" t="n">
        <v>1693</v>
      </c>
      <c r="E158" s="2" t="n">
        <v>0</v>
      </c>
      <c r="F158" s="2" t="n">
        <v>575</v>
      </c>
      <c r="G158" s="2" t="n">
        <v>860</v>
      </c>
      <c r="H158" s="2" t="n">
        <v>736</v>
      </c>
      <c r="I158" s="2" t="n">
        <v>750</v>
      </c>
      <c r="J158" s="2" t="n">
        <v>849</v>
      </c>
      <c r="K158" s="2" t="n">
        <v>1334</v>
      </c>
      <c r="L158" s="2" t="n">
        <v>0</v>
      </c>
      <c r="M158" s="2" t="n">
        <v>248</v>
      </c>
      <c r="N158" s="2" t="n">
        <v>168</v>
      </c>
      <c r="O158" s="2" t="n">
        <v>1033</v>
      </c>
      <c r="Q158" s="2" t="n">
        <f aca="false">F158+G158+H158</f>
        <v>2171</v>
      </c>
    </row>
    <row r="159" customFormat="false" ht="12.8" hidden="false" customHeight="false" outlineLevel="0" collapsed="false">
      <c r="A159" s="2" t="s">
        <v>236</v>
      </c>
      <c r="B159" s="2" t="s">
        <v>211</v>
      </c>
      <c r="C159" s="2" t="s">
        <v>212</v>
      </c>
      <c r="D159" s="2" t="n">
        <v>1594</v>
      </c>
      <c r="E159" s="2" t="n">
        <v>0</v>
      </c>
      <c r="F159" s="2" t="n">
        <v>653</v>
      </c>
      <c r="G159" s="2" t="n">
        <v>1018</v>
      </c>
      <c r="H159" s="2" t="n">
        <v>425</v>
      </c>
      <c r="I159" s="2" t="n">
        <v>616</v>
      </c>
      <c r="J159" s="2" t="n">
        <v>552</v>
      </c>
      <c r="K159" s="2" t="n">
        <v>1744</v>
      </c>
      <c r="L159" s="2" t="n">
        <v>0</v>
      </c>
      <c r="M159" s="2" t="n">
        <v>247</v>
      </c>
      <c r="N159" s="2" t="n">
        <v>409</v>
      </c>
      <c r="O159" s="2" t="n">
        <v>1151</v>
      </c>
      <c r="Q159" s="2" t="n">
        <f aca="false">F159+G159+H159</f>
        <v>2096</v>
      </c>
    </row>
    <row r="160" customFormat="false" ht="12.8" hidden="false" customHeight="false" outlineLevel="0" collapsed="false">
      <c r="A160" s="2" t="s">
        <v>236</v>
      </c>
      <c r="B160" s="2" t="s">
        <v>211</v>
      </c>
      <c r="C160" s="2" t="s">
        <v>213</v>
      </c>
      <c r="D160" s="2" t="n">
        <v>1566</v>
      </c>
      <c r="E160" s="2" t="n">
        <v>0</v>
      </c>
      <c r="F160" s="2" t="n">
        <v>465</v>
      </c>
      <c r="G160" s="2" t="n">
        <v>1102</v>
      </c>
      <c r="H160" s="2" t="n">
        <v>446</v>
      </c>
      <c r="I160" s="2" t="n">
        <v>645</v>
      </c>
      <c r="J160" s="2" t="n">
        <v>636</v>
      </c>
      <c r="K160" s="2" t="n">
        <v>1504</v>
      </c>
      <c r="L160" s="2" t="n">
        <v>0</v>
      </c>
      <c r="M160" s="2" t="n">
        <v>446</v>
      </c>
      <c r="N160" s="2" t="n">
        <v>416</v>
      </c>
      <c r="O160" s="2" t="n">
        <v>1369</v>
      </c>
      <c r="Q160" s="2" t="n">
        <f aca="false">F160+G160+H160</f>
        <v>2013</v>
      </c>
    </row>
    <row r="161" customFormat="false" ht="12.8" hidden="false" customHeight="false" outlineLevel="0" collapsed="false">
      <c r="A161" s="2" t="s">
        <v>236</v>
      </c>
      <c r="B161" s="2" t="s">
        <v>211</v>
      </c>
      <c r="C161" s="2" t="s">
        <v>214</v>
      </c>
      <c r="D161" s="2" t="n">
        <v>1788</v>
      </c>
      <c r="E161" s="2" t="n">
        <v>0</v>
      </c>
      <c r="F161" s="2" t="n">
        <v>726</v>
      </c>
      <c r="G161" s="2" t="n">
        <v>1133</v>
      </c>
      <c r="H161" s="2" t="n">
        <v>511</v>
      </c>
      <c r="I161" s="2" t="n">
        <v>743</v>
      </c>
      <c r="J161" s="2" t="n">
        <v>644</v>
      </c>
      <c r="K161" s="2" t="n">
        <v>1877</v>
      </c>
      <c r="L161" s="2" t="n">
        <v>0</v>
      </c>
      <c r="M161" s="2" t="n">
        <v>487</v>
      </c>
      <c r="N161" s="2" t="n">
        <v>501</v>
      </c>
      <c r="O161" s="2" t="n">
        <v>1275</v>
      </c>
      <c r="Q161" s="2" t="n">
        <f aca="false">F161+G161+H161</f>
        <v>2370</v>
      </c>
    </row>
    <row r="162" customFormat="false" ht="12.8" hidden="false" customHeight="false" outlineLevel="0" collapsed="false">
      <c r="A162" s="2" t="s">
        <v>236</v>
      </c>
      <c r="B162" s="2" t="s">
        <v>211</v>
      </c>
      <c r="C162" s="2" t="s">
        <v>215</v>
      </c>
      <c r="D162" s="2" t="n">
        <v>1671</v>
      </c>
      <c r="E162" s="2" t="n">
        <v>0</v>
      </c>
      <c r="F162" s="2" t="n">
        <v>701</v>
      </c>
      <c r="G162" s="2" t="n">
        <v>1096</v>
      </c>
      <c r="H162" s="2" t="n">
        <v>388</v>
      </c>
      <c r="I162" s="2" t="n">
        <v>551</v>
      </c>
      <c r="J162" s="2" t="n">
        <v>579</v>
      </c>
      <c r="K162" s="2" t="n">
        <v>1679</v>
      </c>
      <c r="L162" s="2" t="n">
        <v>0</v>
      </c>
      <c r="M162" s="2" t="n">
        <v>604</v>
      </c>
      <c r="N162" s="2" t="n">
        <v>444</v>
      </c>
      <c r="O162" s="2" t="n">
        <v>1147</v>
      </c>
      <c r="Q162" s="2" t="n">
        <f aca="false">F162+G162+H162</f>
        <v>2185</v>
      </c>
    </row>
    <row r="163" customFormat="false" ht="12.8" hidden="false" customHeight="false" outlineLevel="0" collapsed="false">
      <c r="A163" s="2" t="s">
        <v>236</v>
      </c>
      <c r="B163" s="2" t="s">
        <v>211</v>
      </c>
      <c r="C163" s="2" t="s">
        <v>216</v>
      </c>
      <c r="D163" s="2" t="n">
        <v>1923</v>
      </c>
      <c r="E163" s="2" t="n">
        <v>0</v>
      </c>
      <c r="F163" s="2" t="n">
        <v>721</v>
      </c>
      <c r="G163" s="2" t="n">
        <v>1304</v>
      </c>
      <c r="H163" s="2" t="n">
        <v>514</v>
      </c>
      <c r="I163" s="2" t="n">
        <v>805</v>
      </c>
      <c r="J163" s="2" t="n">
        <v>662</v>
      </c>
      <c r="K163" s="2" t="n">
        <v>1998</v>
      </c>
      <c r="L163" s="2" t="n">
        <v>0</v>
      </c>
      <c r="M163" s="2" t="n">
        <v>639</v>
      </c>
      <c r="N163" s="2" t="n">
        <v>458</v>
      </c>
      <c r="O163" s="2" t="n">
        <v>1499</v>
      </c>
      <c r="Q163" s="2" t="n">
        <f aca="false">F163+G163+H163</f>
        <v>2539</v>
      </c>
    </row>
    <row r="164" customFormat="false" ht="12.8" hidden="false" customHeight="false" outlineLevel="0" collapsed="false">
      <c r="A164" s="2" t="s">
        <v>236</v>
      </c>
      <c r="B164" s="2" t="s">
        <v>211</v>
      </c>
      <c r="C164" s="2" t="s">
        <v>217</v>
      </c>
      <c r="D164" s="2" t="n">
        <v>1720</v>
      </c>
      <c r="E164" s="2" t="n">
        <v>0</v>
      </c>
      <c r="F164" s="2" t="n">
        <v>771</v>
      </c>
      <c r="G164" s="2" t="n">
        <v>1081</v>
      </c>
      <c r="H164" s="2" t="n">
        <v>478</v>
      </c>
      <c r="I164" s="2" t="n">
        <v>577</v>
      </c>
      <c r="J164" s="2" t="n">
        <v>565</v>
      </c>
      <c r="K164" s="2" t="n">
        <v>1922</v>
      </c>
      <c r="L164" s="2" t="n">
        <v>0</v>
      </c>
      <c r="M164" s="2" t="n">
        <v>396</v>
      </c>
      <c r="N164" s="2" t="n">
        <v>502</v>
      </c>
      <c r="O164" s="2" t="n">
        <v>1264</v>
      </c>
      <c r="Q164" s="2" t="n">
        <f aca="false">F164+G164+H164</f>
        <v>2330</v>
      </c>
    </row>
    <row r="165" customFormat="false" ht="12.8" hidden="false" customHeight="false" outlineLevel="0" collapsed="false">
      <c r="A165" s="2" t="s">
        <v>236</v>
      </c>
      <c r="B165" s="2" t="s">
        <v>211</v>
      </c>
      <c r="C165" s="2" t="s">
        <v>218</v>
      </c>
      <c r="D165" s="2" t="n">
        <v>1763</v>
      </c>
      <c r="E165" s="2" t="n">
        <v>0</v>
      </c>
      <c r="F165" s="2" t="n">
        <v>749</v>
      </c>
      <c r="G165" s="2" t="n">
        <v>1090</v>
      </c>
      <c r="H165" s="2" t="n">
        <v>527</v>
      </c>
      <c r="I165" s="2" t="n">
        <v>679</v>
      </c>
      <c r="J165" s="2" t="n">
        <v>666</v>
      </c>
      <c r="K165" s="2" t="n">
        <v>1879</v>
      </c>
      <c r="L165" s="2" t="n">
        <v>0</v>
      </c>
      <c r="M165" s="2" t="n">
        <v>447</v>
      </c>
      <c r="N165" s="2" t="n">
        <v>514</v>
      </c>
      <c r="O165" s="2" t="n">
        <v>1397</v>
      </c>
      <c r="Q165" s="2" t="n">
        <f aca="false">F165+G165+H165</f>
        <v>2366</v>
      </c>
    </row>
    <row r="166" customFormat="false" ht="12.8" hidden="false" customHeight="false" outlineLevel="0" collapsed="false">
      <c r="A166" s="2" t="s">
        <v>236</v>
      </c>
      <c r="B166" s="2" t="s">
        <v>211</v>
      </c>
      <c r="C166" s="2" t="s">
        <v>219</v>
      </c>
      <c r="D166" s="2" t="n">
        <v>1794</v>
      </c>
      <c r="E166" s="2" t="n">
        <v>0</v>
      </c>
      <c r="F166" s="2" t="n">
        <v>649</v>
      </c>
      <c r="G166" s="2" t="n">
        <v>1170</v>
      </c>
      <c r="H166" s="2" t="n">
        <v>540</v>
      </c>
      <c r="I166" s="2" t="n">
        <v>843</v>
      </c>
      <c r="J166" s="2" t="n">
        <v>620</v>
      </c>
      <c r="K166" s="2" t="n">
        <v>1874</v>
      </c>
      <c r="L166" s="2" t="n">
        <v>0</v>
      </c>
      <c r="M166" s="2" t="n">
        <v>451</v>
      </c>
      <c r="N166" s="2" t="n">
        <v>480</v>
      </c>
      <c r="O166" s="2" t="n">
        <v>1554</v>
      </c>
      <c r="Q166" s="2" t="n">
        <f aca="false">F166+G166+H166</f>
        <v>2359</v>
      </c>
    </row>
    <row r="167" customFormat="false" ht="12.8" hidden="false" customHeight="false" outlineLevel="0" collapsed="false">
      <c r="A167" s="2" t="s">
        <v>236</v>
      </c>
      <c r="B167" s="2" t="s">
        <v>211</v>
      </c>
      <c r="C167" s="2" t="s">
        <v>220</v>
      </c>
      <c r="D167" s="2" t="n">
        <v>1740</v>
      </c>
      <c r="E167" s="2" t="n">
        <v>0</v>
      </c>
      <c r="F167" s="2" t="n">
        <v>597</v>
      </c>
      <c r="G167" s="2" t="n">
        <v>1121</v>
      </c>
      <c r="H167" s="2" t="n">
        <v>499</v>
      </c>
      <c r="I167" s="2" t="n">
        <v>801</v>
      </c>
      <c r="J167" s="2" t="n">
        <v>401</v>
      </c>
      <c r="K167" s="2" t="n">
        <v>1806</v>
      </c>
      <c r="L167" s="2" t="n">
        <v>0</v>
      </c>
      <c r="M167" s="2" t="n">
        <v>486</v>
      </c>
      <c r="N167" s="2" t="n">
        <v>421</v>
      </c>
      <c r="O167" s="2" t="n">
        <v>1447</v>
      </c>
      <c r="Q167" s="2" t="n">
        <f aca="false">F167+G167+H167</f>
        <v>2217</v>
      </c>
    </row>
    <row r="168" customFormat="false" ht="12.8" hidden="false" customHeight="false" outlineLevel="0" collapsed="false">
      <c r="A168" s="2" t="s">
        <v>236</v>
      </c>
      <c r="B168" s="2" t="s">
        <v>211</v>
      </c>
      <c r="C168" s="2" t="s">
        <v>221</v>
      </c>
      <c r="D168" s="2" t="n">
        <v>1589</v>
      </c>
      <c r="E168" s="2" t="n">
        <v>0</v>
      </c>
      <c r="F168" s="2" t="n">
        <v>596</v>
      </c>
      <c r="G168" s="2" t="n">
        <v>1014</v>
      </c>
      <c r="H168" s="2" t="n">
        <v>479</v>
      </c>
      <c r="I168" s="2" t="n">
        <v>634</v>
      </c>
      <c r="J168" s="2" t="n">
        <v>636</v>
      </c>
      <c r="K168" s="2" t="n">
        <v>1616</v>
      </c>
      <c r="L168" s="2" t="n">
        <v>0</v>
      </c>
      <c r="M168" s="2" t="n">
        <v>356</v>
      </c>
      <c r="N168" s="2" t="n">
        <v>438</v>
      </c>
      <c r="O168" s="2" t="n">
        <v>1333</v>
      </c>
      <c r="Q168" s="2" t="n">
        <f aca="false">F168+G168+H168</f>
        <v>2089</v>
      </c>
    </row>
    <row r="169" customFormat="false" ht="12.8" hidden="false" customHeight="false" outlineLevel="0" collapsed="false">
      <c r="A169" s="2" t="s">
        <v>236</v>
      </c>
      <c r="B169" s="2" t="s">
        <v>211</v>
      </c>
      <c r="C169" s="2" t="s">
        <v>222</v>
      </c>
      <c r="D169" s="2" t="n">
        <v>1624</v>
      </c>
      <c r="E169" s="2" t="n">
        <v>0</v>
      </c>
      <c r="F169" s="2" t="n">
        <v>652</v>
      </c>
      <c r="G169" s="2" t="n">
        <v>1066</v>
      </c>
      <c r="H169" s="2" t="n">
        <v>480</v>
      </c>
      <c r="I169" s="2" t="n">
        <v>940</v>
      </c>
      <c r="J169" s="2" t="n">
        <v>562</v>
      </c>
      <c r="K169" s="2" t="n">
        <v>1565</v>
      </c>
      <c r="L169" s="2" t="n">
        <v>0</v>
      </c>
      <c r="M169" s="2" t="n">
        <v>397</v>
      </c>
      <c r="N169" s="2" t="n">
        <v>469</v>
      </c>
      <c r="O169" s="2" t="n">
        <v>1372</v>
      </c>
      <c r="Q169" s="2" t="n">
        <f aca="false">F169+G169+H169</f>
        <v>2198</v>
      </c>
    </row>
    <row r="170" customFormat="false" ht="12.8" hidden="false" customHeight="false" outlineLevel="0" collapsed="false">
      <c r="A170" s="2" t="s">
        <v>236</v>
      </c>
      <c r="B170" s="2" t="s">
        <v>211</v>
      </c>
      <c r="C170" s="2" t="s">
        <v>223</v>
      </c>
      <c r="D170" s="2" t="n">
        <v>1566</v>
      </c>
      <c r="E170" s="2" t="n">
        <v>0</v>
      </c>
      <c r="F170" s="2" t="n">
        <v>610</v>
      </c>
      <c r="G170" s="2" t="n">
        <v>1052</v>
      </c>
      <c r="H170" s="2" t="n">
        <v>460</v>
      </c>
      <c r="I170" s="2" t="n">
        <v>955</v>
      </c>
      <c r="J170" s="2" t="n">
        <v>566</v>
      </c>
      <c r="K170" s="2" t="n">
        <v>1449</v>
      </c>
      <c r="L170" s="2" t="n">
        <v>0</v>
      </c>
      <c r="M170" s="2" t="n">
        <v>357</v>
      </c>
      <c r="N170" s="2" t="n">
        <v>526</v>
      </c>
      <c r="O170" s="2" t="n">
        <v>1378</v>
      </c>
      <c r="Q170" s="2" t="n">
        <f aca="false">F170+G170+H170</f>
        <v>2122</v>
      </c>
    </row>
    <row r="171" customFormat="false" ht="12.8" hidden="false" customHeight="false" outlineLevel="0" collapsed="false">
      <c r="A171" s="2" t="s">
        <v>236</v>
      </c>
      <c r="B171" s="2" t="s">
        <v>211</v>
      </c>
      <c r="C171" s="2" t="s">
        <v>224</v>
      </c>
      <c r="D171" s="2" t="n">
        <v>1623</v>
      </c>
      <c r="E171" s="2" t="n">
        <v>0</v>
      </c>
      <c r="F171" s="2" t="n">
        <v>655</v>
      </c>
      <c r="G171" s="2" t="n">
        <v>1077</v>
      </c>
      <c r="H171" s="2" t="n">
        <v>429</v>
      </c>
      <c r="I171" s="2" t="n">
        <v>928</v>
      </c>
      <c r="J171" s="2" t="n">
        <v>619</v>
      </c>
      <c r="K171" s="2" t="n">
        <v>1506</v>
      </c>
      <c r="L171" s="2" t="n">
        <v>0</v>
      </c>
      <c r="M171" s="2" t="n">
        <v>369</v>
      </c>
      <c r="N171" s="2" t="n">
        <v>521</v>
      </c>
      <c r="O171" s="2" t="n">
        <v>1243</v>
      </c>
      <c r="Q171" s="2" t="n">
        <f aca="false">F171+G171+H171</f>
        <v>2161</v>
      </c>
    </row>
    <row r="172" customFormat="false" ht="12.8" hidden="false" customHeight="false" outlineLevel="0" collapsed="false">
      <c r="A172" s="2" t="s">
        <v>237</v>
      </c>
      <c r="B172" s="2" t="s">
        <v>211</v>
      </c>
      <c r="C172" s="2" t="s">
        <v>212</v>
      </c>
      <c r="D172" s="2" t="n">
        <v>910</v>
      </c>
      <c r="E172" s="2" t="n">
        <v>0</v>
      </c>
      <c r="F172" s="2" t="n">
        <v>0</v>
      </c>
      <c r="G172" s="2" t="n">
        <v>445</v>
      </c>
      <c r="H172" s="2" t="n">
        <v>815</v>
      </c>
      <c r="I172" s="2" t="n">
        <v>396</v>
      </c>
      <c r="J172" s="2" t="n">
        <v>284</v>
      </c>
      <c r="K172" s="2" t="n">
        <v>1088</v>
      </c>
      <c r="L172" s="2" t="n">
        <v>0</v>
      </c>
      <c r="M172" s="2" t="n">
        <v>270</v>
      </c>
      <c r="N172" s="2" t="n">
        <v>340</v>
      </c>
      <c r="O172" s="2" t="n">
        <v>18</v>
      </c>
      <c r="Q172" s="2" t="n">
        <f aca="false">F172+G172+H172</f>
        <v>1260</v>
      </c>
    </row>
    <row r="173" customFormat="false" ht="12.8" hidden="false" customHeight="false" outlineLevel="0" collapsed="false">
      <c r="A173" s="2" t="s">
        <v>237</v>
      </c>
      <c r="B173" s="2" t="s">
        <v>211</v>
      </c>
      <c r="C173" s="2" t="s">
        <v>213</v>
      </c>
      <c r="D173" s="2" t="n">
        <v>833</v>
      </c>
      <c r="E173" s="2" t="n">
        <v>0</v>
      </c>
      <c r="F173" s="2" t="n">
        <v>0</v>
      </c>
      <c r="G173" s="2" t="n">
        <v>423</v>
      </c>
      <c r="H173" s="2" t="n">
        <v>702</v>
      </c>
      <c r="I173" s="2" t="n">
        <v>190</v>
      </c>
      <c r="J173" s="2" t="n">
        <v>340</v>
      </c>
      <c r="K173" s="2" t="n">
        <v>886</v>
      </c>
      <c r="L173" s="2" t="n">
        <v>0</v>
      </c>
      <c r="M173" s="2" t="n">
        <v>263</v>
      </c>
      <c r="N173" s="2" t="n">
        <v>172</v>
      </c>
      <c r="O173" s="2" t="n">
        <v>102</v>
      </c>
      <c r="Q173" s="2" t="n">
        <f aca="false">F173+G173+H173</f>
        <v>1125</v>
      </c>
    </row>
    <row r="174" customFormat="false" ht="12.8" hidden="false" customHeight="false" outlineLevel="0" collapsed="false">
      <c r="A174" s="2" t="s">
        <v>237</v>
      </c>
      <c r="B174" s="2" t="s">
        <v>211</v>
      </c>
      <c r="C174" s="2" t="s">
        <v>214</v>
      </c>
      <c r="D174" s="2" t="n">
        <v>1052</v>
      </c>
      <c r="E174" s="2" t="n">
        <v>0</v>
      </c>
      <c r="F174" s="2" t="n">
        <v>0</v>
      </c>
      <c r="G174" s="2" t="n">
        <v>521</v>
      </c>
      <c r="H174" s="2" t="n">
        <v>931</v>
      </c>
      <c r="I174" s="2" t="n">
        <v>185</v>
      </c>
      <c r="J174" s="2" t="n">
        <v>498</v>
      </c>
      <c r="K174" s="2" t="n">
        <v>1078</v>
      </c>
      <c r="L174" s="2" t="n">
        <v>0</v>
      </c>
      <c r="M174" s="2" t="n">
        <v>346</v>
      </c>
      <c r="N174" s="2" t="n">
        <v>224</v>
      </c>
      <c r="O174" s="2" t="n">
        <v>101</v>
      </c>
      <c r="Q174" s="2" t="n">
        <f aca="false">F174+G174+H174</f>
        <v>1452</v>
      </c>
    </row>
    <row r="175" customFormat="false" ht="12.8" hidden="false" customHeight="false" outlineLevel="0" collapsed="false">
      <c r="A175" s="2" t="s">
        <v>237</v>
      </c>
      <c r="B175" s="2" t="s">
        <v>211</v>
      </c>
      <c r="C175" s="2" t="s">
        <v>215</v>
      </c>
      <c r="D175" s="2" t="n">
        <v>1058</v>
      </c>
      <c r="E175" s="2" t="n">
        <v>0</v>
      </c>
      <c r="F175" s="2" t="n">
        <v>0</v>
      </c>
      <c r="G175" s="2" t="n">
        <v>549</v>
      </c>
      <c r="H175" s="2" t="n">
        <v>930</v>
      </c>
      <c r="I175" s="2" t="n">
        <v>239</v>
      </c>
      <c r="J175" s="2" t="n">
        <v>458</v>
      </c>
      <c r="K175" s="2" t="n">
        <v>1043</v>
      </c>
      <c r="L175" s="2" t="n">
        <v>0</v>
      </c>
      <c r="M175" s="2" t="n">
        <v>386</v>
      </c>
      <c r="N175" s="2" t="n">
        <v>257</v>
      </c>
      <c r="O175" s="2" t="n">
        <v>177</v>
      </c>
      <c r="Q175" s="2" t="n">
        <f aca="false">F175+G175+H175</f>
        <v>1479</v>
      </c>
    </row>
    <row r="176" customFormat="false" ht="12.8" hidden="false" customHeight="false" outlineLevel="0" collapsed="false">
      <c r="A176" s="2" t="s">
        <v>237</v>
      </c>
      <c r="B176" s="2" t="s">
        <v>211</v>
      </c>
      <c r="C176" s="2" t="s">
        <v>216</v>
      </c>
      <c r="D176" s="2" t="n">
        <v>1125</v>
      </c>
      <c r="E176" s="2" t="n">
        <v>0</v>
      </c>
      <c r="F176" s="2" t="n">
        <v>0</v>
      </c>
      <c r="G176" s="2" t="n">
        <v>528</v>
      </c>
      <c r="H176" s="2" t="n">
        <v>1067</v>
      </c>
      <c r="I176" s="2" t="n">
        <v>263</v>
      </c>
      <c r="J176" s="2" t="n">
        <v>579</v>
      </c>
      <c r="K176" s="2" t="n">
        <v>1171</v>
      </c>
      <c r="L176" s="2" t="n">
        <v>0</v>
      </c>
      <c r="M176" s="2" t="n">
        <v>382</v>
      </c>
      <c r="N176" s="2" t="n">
        <v>283</v>
      </c>
      <c r="O176" s="2" t="n">
        <v>88</v>
      </c>
      <c r="Q176" s="2" t="n">
        <f aca="false">F176+G176+H176</f>
        <v>1595</v>
      </c>
    </row>
    <row r="177" customFormat="false" ht="12.8" hidden="false" customHeight="false" outlineLevel="0" collapsed="false">
      <c r="A177" s="2" t="s">
        <v>237</v>
      </c>
      <c r="B177" s="2" t="s">
        <v>211</v>
      </c>
      <c r="C177" s="2" t="s">
        <v>217</v>
      </c>
      <c r="D177" s="2" t="n">
        <v>974</v>
      </c>
      <c r="E177" s="2" t="n">
        <v>0</v>
      </c>
      <c r="F177" s="2" t="n">
        <v>0</v>
      </c>
      <c r="G177" s="2" t="n">
        <v>482</v>
      </c>
      <c r="H177" s="2" t="n">
        <v>856</v>
      </c>
      <c r="I177" s="2" t="n">
        <v>399</v>
      </c>
      <c r="J177" s="2" t="n">
        <v>343</v>
      </c>
      <c r="K177" s="2" t="n">
        <v>1062</v>
      </c>
      <c r="L177" s="2" t="n">
        <v>0</v>
      </c>
      <c r="M177" s="2" t="n">
        <v>277</v>
      </c>
      <c r="N177" s="2" t="n">
        <v>265</v>
      </c>
      <c r="O177" s="2" t="n">
        <v>73</v>
      </c>
      <c r="Q177" s="2" t="n">
        <f aca="false">F177+G177+H177</f>
        <v>1338</v>
      </c>
    </row>
    <row r="178" customFormat="false" ht="12.8" hidden="false" customHeight="false" outlineLevel="0" collapsed="false">
      <c r="A178" s="2" t="s">
        <v>237</v>
      </c>
      <c r="B178" s="2" t="s">
        <v>211</v>
      </c>
      <c r="C178" s="2" t="s">
        <v>218</v>
      </c>
      <c r="D178" s="2" t="n">
        <v>1002</v>
      </c>
      <c r="E178" s="2" t="n">
        <v>0</v>
      </c>
      <c r="F178" s="2" t="n">
        <v>0</v>
      </c>
      <c r="G178" s="2" t="n">
        <v>580</v>
      </c>
      <c r="H178" s="2" t="n">
        <v>915</v>
      </c>
      <c r="I178" s="2" t="n">
        <v>407</v>
      </c>
      <c r="J178" s="2" t="n">
        <v>288</v>
      </c>
      <c r="K178" s="2" t="n">
        <v>1101</v>
      </c>
      <c r="L178" s="2" t="n">
        <v>0</v>
      </c>
      <c r="M178" s="2" t="n">
        <v>370</v>
      </c>
      <c r="N178" s="2" t="n">
        <v>381</v>
      </c>
      <c r="O178" s="2" t="n">
        <v>15</v>
      </c>
      <c r="Q178" s="2" t="n">
        <f aca="false">F178+G178+H178</f>
        <v>1495</v>
      </c>
    </row>
    <row r="179" customFormat="false" ht="12.8" hidden="false" customHeight="false" outlineLevel="0" collapsed="false">
      <c r="A179" s="2" t="s">
        <v>237</v>
      </c>
      <c r="B179" s="2" t="s">
        <v>211</v>
      </c>
      <c r="C179" s="2" t="s">
        <v>219</v>
      </c>
      <c r="D179" s="2" t="n">
        <v>959</v>
      </c>
      <c r="E179" s="2" t="n">
        <v>0</v>
      </c>
      <c r="F179" s="2" t="n">
        <v>0</v>
      </c>
      <c r="G179" s="2" t="n">
        <v>486</v>
      </c>
      <c r="H179" s="2" t="n">
        <v>865</v>
      </c>
      <c r="I179" s="2" t="n">
        <v>262</v>
      </c>
      <c r="J179" s="2" t="n">
        <v>281</v>
      </c>
      <c r="K179" s="2" t="n">
        <v>975</v>
      </c>
      <c r="L179" s="2" t="n">
        <v>0</v>
      </c>
      <c r="M179" s="2" t="n">
        <v>341</v>
      </c>
      <c r="N179" s="2" t="n">
        <v>273</v>
      </c>
      <c r="O179" s="2" t="n">
        <v>68</v>
      </c>
      <c r="Q179" s="2" t="n">
        <f aca="false">F179+G179+H179</f>
        <v>1351</v>
      </c>
    </row>
    <row r="180" customFormat="false" ht="12.8" hidden="false" customHeight="false" outlineLevel="0" collapsed="false">
      <c r="A180" s="2" t="s">
        <v>237</v>
      </c>
      <c r="B180" s="2" t="s">
        <v>211</v>
      </c>
      <c r="C180" s="2" t="s">
        <v>220</v>
      </c>
      <c r="D180" s="2" t="n">
        <v>968</v>
      </c>
      <c r="E180" s="2" t="n">
        <v>0</v>
      </c>
      <c r="F180" s="2" t="n">
        <v>0</v>
      </c>
      <c r="G180" s="2" t="n">
        <v>482</v>
      </c>
      <c r="H180" s="2" t="n">
        <v>860</v>
      </c>
      <c r="I180" s="2" t="n">
        <v>298</v>
      </c>
      <c r="J180" s="2" t="n">
        <v>207</v>
      </c>
      <c r="K180" s="2" t="n">
        <v>1129</v>
      </c>
      <c r="L180" s="2" t="n">
        <v>0</v>
      </c>
      <c r="M180" s="2" t="n">
        <v>311</v>
      </c>
      <c r="N180" s="2" t="n">
        <v>281</v>
      </c>
      <c r="O180" s="2" t="n">
        <v>74</v>
      </c>
      <c r="Q180" s="2" t="n">
        <f aca="false">F180+G180+H180</f>
        <v>1342</v>
      </c>
    </row>
    <row r="181" customFormat="false" ht="12.8" hidden="false" customHeight="false" outlineLevel="0" collapsed="false">
      <c r="A181" s="2" t="s">
        <v>237</v>
      </c>
      <c r="B181" s="2" t="s">
        <v>211</v>
      </c>
      <c r="C181" s="2" t="s">
        <v>221</v>
      </c>
      <c r="D181" s="2" t="n">
        <v>992</v>
      </c>
      <c r="E181" s="2" t="n">
        <v>0</v>
      </c>
      <c r="F181" s="2" t="n">
        <v>0</v>
      </c>
      <c r="G181" s="2" t="n">
        <v>514</v>
      </c>
      <c r="H181" s="2" t="n">
        <v>926</v>
      </c>
      <c r="I181" s="2" t="n">
        <v>404</v>
      </c>
      <c r="J181" s="2" t="n">
        <v>258</v>
      </c>
      <c r="K181" s="2" t="n">
        <v>1197</v>
      </c>
      <c r="L181" s="2" t="n">
        <v>0</v>
      </c>
      <c r="M181" s="2" t="n">
        <v>349</v>
      </c>
      <c r="N181" s="2" t="n">
        <v>355</v>
      </c>
      <c r="O181" s="2" t="n">
        <v>68</v>
      </c>
      <c r="Q181" s="2" t="n">
        <f aca="false">F181+G181+H181</f>
        <v>1440</v>
      </c>
    </row>
    <row r="182" customFormat="false" ht="12.8" hidden="false" customHeight="false" outlineLevel="0" collapsed="false">
      <c r="A182" s="2" t="s">
        <v>237</v>
      </c>
      <c r="B182" s="2" t="s">
        <v>211</v>
      </c>
      <c r="C182" s="2" t="s">
        <v>222</v>
      </c>
      <c r="D182" s="2" t="n">
        <v>955</v>
      </c>
      <c r="E182" s="2" t="n">
        <v>0</v>
      </c>
      <c r="F182" s="2" t="n">
        <v>0</v>
      </c>
      <c r="G182" s="2" t="n">
        <v>482</v>
      </c>
      <c r="H182" s="2" t="n">
        <v>906</v>
      </c>
      <c r="I182" s="2" t="n">
        <v>311</v>
      </c>
      <c r="J182" s="2" t="n">
        <v>383</v>
      </c>
      <c r="K182" s="2" t="n">
        <v>1093</v>
      </c>
      <c r="L182" s="2" t="n">
        <v>0</v>
      </c>
      <c r="M182" s="2" t="n">
        <v>319</v>
      </c>
      <c r="N182" s="2" t="n">
        <v>290</v>
      </c>
      <c r="O182" s="2" t="n">
        <v>78</v>
      </c>
      <c r="Q182" s="2" t="n">
        <f aca="false">F182+G182+H182</f>
        <v>1388</v>
      </c>
    </row>
    <row r="183" customFormat="false" ht="12.8" hidden="false" customHeight="false" outlineLevel="0" collapsed="false">
      <c r="A183" s="2" t="s">
        <v>237</v>
      </c>
      <c r="B183" s="2" t="s">
        <v>211</v>
      </c>
      <c r="C183" s="2" t="s">
        <v>223</v>
      </c>
      <c r="D183" s="2" t="n">
        <v>946</v>
      </c>
      <c r="E183" s="2" t="n">
        <v>0</v>
      </c>
      <c r="F183" s="2" t="n">
        <v>0</v>
      </c>
      <c r="G183" s="2" t="n">
        <v>492</v>
      </c>
      <c r="H183" s="2" t="n">
        <v>883</v>
      </c>
      <c r="I183" s="2" t="n">
        <v>273</v>
      </c>
      <c r="J183" s="2" t="n">
        <v>484</v>
      </c>
      <c r="K183" s="2" t="n">
        <v>1114</v>
      </c>
      <c r="L183" s="2" t="n">
        <v>0</v>
      </c>
      <c r="M183" s="2" t="n">
        <v>304</v>
      </c>
      <c r="N183" s="2" t="n">
        <v>291</v>
      </c>
      <c r="O183" s="2" t="n">
        <v>80</v>
      </c>
      <c r="Q183" s="2" t="n">
        <f aca="false">F183+G183+H183</f>
        <v>1375</v>
      </c>
    </row>
    <row r="184" customFormat="false" ht="12.8" hidden="false" customHeight="false" outlineLevel="0" collapsed="false">
      <c r="A184" s="2" t="s">
        <v>237</v>
      </c>
      <c r="B184" s="2" t="s">
        <v>211</v>
      </c>
      <c r="C184" s="2" t="s">
        <v>224</v>
      </c>
      <c r="D184" s="2" t="n">
        <v>951</v>
      </c>
      <c r="E184" s="2" t="n">
        <v>0</v>
      </c>
      <c r="F184" s="2" t="n">
        <v>0</v>
      </c>
      <c r="G184" s="2" t="n">
        <v>496</v>
      </c>
      <c r="H184" s="2" t="n">
        <v>867</v>
      </c>
      <c r="I184" s="2" t="n">
        <v>235</v>
      </c>
      <c r="J184" s="2" t="n">
        <v>433</v>
      </c>
      <c r="K184" s="2" t="n">
        <v>1061</v>
      </c>
      <c r="L184" s="2" t="n">
        <v>0</v>
      </c>
      <c r="M184" s="2" t="n">
        <v>350</v>
      </c>
      <c r="N184" s="2" t="n">
        <v>308</v>
      </c>
      <c r="O184" s="2" t="n">
        <v>108</v>
      </c>
      <c r="Q184" s="2" t="n">
        <f aca="false">F184+G184+H184</f>
        <v>1363</v>
      </c>
    </row>
    <row r="185" customFormat="false" ht="12.8" hidden="false" customHeight="false" outlineLevel="0" collapsed="false">
      <c r="A185" s="2" t="s">
        <v>238</v>
      </c>
      <c r="B185" s="2" t="s">
        <v>211</v>
      </c>
      <c r="C185" s="2" t="s">
        <v>212</v>
      </c>
      <c r="D185" s="2" t="n">
        <v>531</v>
      </c>
      <c r="E185" s="2" t="n">
        <v>0</v>
      </c>
      <c r="F185" s="2" t="n">
        <v>0</v>
      </c>
      <c r="G185" s="2" t="n">
        <v>121</v>
      </c>
      <c r="H185" s="2" t="n">
        <v>603</v>
      </c>
      <c r="I185" s="2" t="n">
        <v>533</v>
      </c>
      <c r="J185" s="2" t="n">
        <v>50</v>
      </c>
      <c r="K185" s="2" t="n">
        <v>669</v>
      </c>
      <c r="L185" s="2" t="n">
        <v>0</v>
      </c>
      <c r="M185" s="2" t="n">
        <v>0</v>
      </c>
      <c r="N185" s="2" t="n">
        <v>354</v>
      </c>
      <c r="O185" s="2" t="n">
        <v>248</v>
      </c>
      <c r="Q185" s="2" t="n">
        <f aca="false">F185+G185+H185</f>
        <v>724</v>
      </c>
    </row>
    <row r="186" customFormat="false" ht="12.8" hidden="false" customHeight="false" outlineLevel="0" collapsed="false">
      <c r="A186" s="2" t="s">
        <v>238</v>
      </c>
      <c r="B186" s="2" t="s">
        <v>211</v>
      </c>
      <c r="C186" s="2" t="s">
        <v>213</v>
      </c>
      <c r="D186" s="2" t="n">
        <v>574</v>
      </c>
      <c r="E186" s="2" t="n">
        <v>0</v>
      </c>
      <c r="F186" s="2" t="n">
        <v>0</v>
      </c>
      <c r="G186" s="2" t="n">
        <v>144</v>
      </c>
      <c r="H186" s="2" t="n">
        <v>583</v>
      </c>
      <c r="I186" s="2" t="n">
        <v>533</v>
      </c>
      <c r="J186" s="2" t="n">
        <v>54</v>
      </c>
      <c r="K186" s="2" t="n">
        <v>727</v>
      </c>
      <c r="L186" s="2" t="n">
        <v>0</v>
      </c>
      <c r="M186" s="2" t="n">
        <v>0</v>
      </c>
      <c r="N186" s="2" t="n">
        <v>129</v>
      </c>
      <c r="O186" s="2" t="n">
        <v>566</v>
      </c>
      <c r="Q186" s="2" t="n">
        <f aca="false">F186+G186+H186</f>
        <v>727</v>
      </c>
    </row>
    <row r="187" customFormat="false" ht="12.8" hidden="false" customHeight="false" outlineLevel="0" collapsed="false">
      <c r="A187" s="2" t="s">
        <v>238</v>
      </c>
      <c r="B187" s="2" t="s">
        <v>211</v>
      </c>
      <c r="C187" s="2" t="s">
        <v>214</v>
      </c>
      <c r="D187" s="2" t="n">
        <v>709</v>
      </c>
      <c r="E187" s="2" t="n">
        <v>0</v>
      </c>
      <c r="F187" s="2" t="n">
        <v>0</v>
      </c>
      <c r="G187" s="2" t="n">
        <v>156</v>
      </c>
      <c r="H187" s="2" t="n">
        <v>802</v>
      </c>
      <c r="I187" s="2" t="n">
        <v>792</v>
      </c>
      <c r="J187" s="2" t="n">
        <v>0</v>
      </c>
      <c r="K187" s="2" t="n">
        <v>938</v>
      </c>
      <c r="L187" s="2" t="n">
        <v>0</v>
      </c>
      <c r="M187" s="2" t="n">
        <v>2</v>
      </c>
      <c r="N187" s="2" t="n">
        <v>13</v>
      </c>
      <c r="O187" s="2" t="n">
        <v>628</v>
      </c>
      <c r="Q187" s="2" t="n">
        <f aca="false">F187+G187+H187</f>
        <v>958</v>
      </c>
    </row>
    <row r="188" customFormat="false" ht="12.8" hidden="false" customHeight="false" outlineLevel="0" collapsed="false">
      <c r="A188" s="2" t="s">
        <v>238</v>
      </c>
      <c r="B188" s="2" t="s">
        <v>211</v>
      </c>
      <c r="C188" s="2" t="s">
        <v>215</v>
      </c>
      <c r="D188" s="2" t="n">
        <v>753</v>
      </c>
      <c r="E188" s="2" t="n">
        <v>0</v>
      </c>
      <c r="F188" s="2" t="n">
        <v>0</v>
      </c>
      <c r="G188" s="2" t="n">
        <v>203</v>
      </c>
      <c r="H188" s="2" t="n">
        <v>764</v>
      </c>
      <c r="I188" s="2" t="n">
        <v>800</v>
      </c>
      <c r="J188" s="2" t="n">
        <v>0</v>
      </c>
      <c r="K188" s="2" t="n">
        <v>957</v>
      </c>
      <c r="L188" s="2" t="n">
        <v>0</v>
      </c>
      <c r="M188" s="2" t="n">
        <v>2</v>
      </c>
      <c r="N188" s="2" t="n">
        <v>0</v>
      </c>
      <c r="O188" s="2" t="n">
        <v>667</v>
      </c>
      <c r="Q188" s="2" t="n">
        <f aca="false">F188+G188+H188</f>
        <v>967</v>
      </c>
    </row>
    <row r="189" customFormat="false" ht="12.8" hidden="false" customHeight="false" outlineLevel="0" collapsed="false">
      <c r="A189" s="2" t="s">
        <v>238</v>
      </c>
      <c r="B189" s="2" t="s">
        <v>211</v>
      </c>
      <c r="C189" s="2" t="s">
        <v>216</v>
      </c>
      <c r="D189" s="2" t="n">
        <v>857</v>
      </c>
      <c r="E189" s="2" t="n">
        <v>0</v>
      </c>
      <c r="F189" s="2" t="n">
        <v>0</v>
      </c>
      <c r="G189" s="2" t="n">
        <v>250</v>
      </c>
      <c r="H189" s="2" t="n">
        <v>900</v>
      </c>
      <c r="I189" s="2" t="n">
        <v>949</v>
      </c>
      <c r="J189" s="2" t="n">
        <v>0</v>
      </c>
      <c r="K189" s="2" t="n">
        <v>1110</v>
      </c>
      <c r="L189" s="2" t="n">
        <v>0</v>
      </c>
      <c r="M189" s="2" t="n">
        <v>4</v>
      </c>
      <c r="N189" s="2" t="n">
        <v>42</v>
      </c>
      <c r="O189" s="2" t="n">
        <v>676</v>
      </c>
      <c r="Q189" s="2" t="n">
        <f aca="false">F189+G189+H189</f>
        <v>1150</v>
      </c>
    </row>
    <row r="190" customFormat="false" ht="12.8" hidden="false" customHeight="false" outlineLevel="0" collapsed="false">
      <c r="A190" s="2" t="s">
        <v>238</v>
      </c>
      <c r="B190" s="2" t="s">
        <v>211</v>
      </c>
      <c r="C190" s="2" t="s">
        <v>217</v>
      </c>
      <c r="D190" s="2" t="n">
        <v>541</v>
      </c>
      <c r="E190" s="2" t="n">
        <v>0</v>
      </c>
      <c r="F190" s="2" t="n">
        <v>0</v>
      </c>
      <c r="G190" s="2" t="n">
        <v>97</v>
      </c>
      <c r="H190" s="2" t="n">
        <v>619</v>
      </c>
      <c r="I190" s="2" t="n">
        <v>560</v>
      </c>
      <c r="J190" s="2" t="n">
        <v>20</v>
      </c>
      <c r="K190" s="2" t="n">
        <v>646</v>
      </c>
      <c r="L190" s="2" t="n">
        <v>0</v>
      </c>
      <c r="M190" s="2" t="n">
        <v>0</v>
      </c>
      <c r="N190" s="2" t="n">
        <v>246</v>
      </c>
      <c r="O190" s="2" t="n">
        <v>343</v>
      </c>
      <c r="Q190" s="2" t="n">
        <f aca="false">F190+G190+H190</f>
        <v>716</v>
      </c>
    </row>
    <row r="191" customFormat="false" ht="12.8" hidden="false" customHeight="false" outlineLevel="0" collapsed="false">
      <c r="A191" s="2" t="s">
        <v>238</v>
      </c>
      <c r="B191" s="2" t="s">
        <v>211</v>
      </c>
      <c r="C191" s="2" t="s">
        <v>218</v>
      </c>
      <c r="D191" s="2" t="n">
        <v>565</v>
      </c>
      <c r="E191" s="2" t="n">
        <v>0</v>
      </c>
      <c r="F191" s="2" t="n">
        <v>0</v>
      </c>
      <c r="G191" s="2" t="n">
        <v>121</v>
      </c>
      <c r="H191" s="2" t="n">
        <v>648</v>
      </c>
      <c r="I191" s="2" t="n">
        <v>614</v>
      </c>
      <c r="J191" s="2" t="n">
        <v>35</v>
      </c>
      <c r="K191" s="2" t="n">
        <v>703</v>
      </c>
      <c r="L191" s="2" t="n">
        <v>0</v>
      </c>
      <c r="M191" s="2" t="n">
        <v>0</v>
      </c>
      <c r="N191" s="2" t="n">
        <v>256</v>
      </c>
      <c r="O191" s="2" t="n">
        <v>339</v>
      </c>
      <c r="Q191" s="2" t="n">
        <f aca="false">F191+G191+H191</f>
        <v>769</v>
      </c>
    </row>
    <row r="192" customFormat="false" ht="12.8" hidden="false" customHeight="false" outlineLevel="0" collapsed="false">
      <c r="A192" s="2" t="s">
        <v>238</v>
      </c>
      <c r="B192" s="2" t="s">
        <v>211</v>
      </c>
      <c r="C192" s="2" t="s">
        <v>219</v>
      </c>
      <c r="D192" s="2" t="n">
        <v>547</v>
      </c>
      <c r="E192" s="2" t="n">
        <v>0</v>
      </c>
      <c r="F192" s="2" t="n">
        <v>0</v>
      </c>
      <c r="G192" s="2" t="n">
        <v>100</v>
      </c>
      <c r="H192" s="2" t="n">
        <v>628</v>
      </c>
      <c r="I192" s="2" t="n">
        <v>567</v>
      </c>
      <c r="J192" s="2" t="n">
        <v>19</v>
      </c>
      <c r="K192" s="2" t="n">
        <v>664</v>
      </c>
      <c r="L192" s="2" t="n">
        <v>0</v>
      </c>
      <c r="M192" s="2" t="n">
        <v>0</v>
      </c>
      <c r="N192" s="2" t="n">
        <v>147</v>
      </c>
      <c r="O192" s="2" t="n">
        <v>256</v>
      </c>
      <c r="Q192" s="2" t="n">
        <f aca="false">F192+G192+H192</f>
        <v>728</v>
      </c>
    </row>
    <row r="193" customFormat="false" ht="12.8" hidden="false" customHeight="false" outlineLevel="0" collapsed="false">
      <c r="A193" s="2" t="s">
        <v>238</v>
      </c>
      <c r="B193" s="2" t="s">
        <v>211</v>
      </c>
      <c r="C193" s="2" t="s">
        <v>220</v>
      </c>
      <c r="D193" s="2" t="n">
        <v>482</v>
      </c>
      <c r="E193" s="2" t="n">
        <v>0</v>
      </c>
      <c r="F193" s="2" t="n">
        <v>0</v>
      </c>
      <c r="G193" s="2" t="n">
        <v>86</v>
      </c>
      <c r="H193" s="2" t="n">
        <v>577</v>
      </c>
      <c r="I193" s="2" t="n">
        <v>483</v>
      </c>
      <c r="J193" s="2" t="n">
        <v>13</v>
      </c>
      <c r="K193" s="2" t="n">
        <v>601</v>
      </c>
      <c r="L193" s="2" t="n">
        <v>0</v>
      </c>
      <c r="M193" s="2" t="n">
        <v>0</v>
      </c>
      <c r="N193" s="2" t="n">
        <v>148</v>
      </c>
      <c r="O193" s="2" t="n">
        <v>326</v>
      </c>
      <c r="Q193" s="2" t="n">
        <f aca="false">F193+G193+H193</f>
        <v>663</v>
      </c>
    </row>
    <row r="194" customFormat="false" ht="12.8" hidden="false" customHeight="false" outlineLevel="0" collapsed="false">
      <c r="A194" s="2" t="s">
        <v>238</v>
      </c>
      <c r="B194" s="2" t="s">
        <v>211</v>
      </c>
      <c r="C194" s="2" t="s">
        <v>221</v>
      </c>
      <c r="D194" s="2" t="n">
        <v>541</v>
      </c>
      <c r="E194" s="2" t="n">
        <v>0</v>
      </c>
      <c r="F194" s="2" t="n">
        <v>0</v>
      </c>
      <c r="G194" s="2" t="n">
        <v>89</v>
      </c>
      <c r="H194" s="2" t="n">
        <v>692</v>
      </c>
      <c r="I194" s="2" t="n">
        <v>579</v>
      </c>
      <c r="J194" s="2" t="n">
        <v>19</v>
      </c>
      <c r="K194" s="2" t="n">
        <v>767</v>
      </c>
      <c r="L194" s="2" t="n">
        <v>0</v>
      </c>
      <c r="M194" s="2" t="n">
        <v>0</v>
      </c>
      <c r="N194" s="2" t="n">
        <v>169</v>
      </c>
      <c r="O194" s="2" t="n">
        <v>380</v>
      </c>
      <c r="Q194" s="2" t="n">
        <f aca="false">F194+G194+H194</f>
        <v>781</v>
      </c>
    </row>
    <row r="195" customFormat="false" ht="12.8" hidden="false" customHeight="false" outlineLevel="0" collapsed="false">
      <c r="A195" s="2" t="s">
        <v>238</v>
      </c>
      <c r="B195" s="2" t="s">
        <v>211</v>
      </c>
      <c r="C195" s="2" t="s">
        <v>222</v>
      </c>
      <c r="D195" s="2" t="n">
        <v>585</v>
      </c>
      <c r="E195" s="2" t="n">
        <v>0</v>
      </c>
      <c r="F195" s="2" t="n">
        <v>0</v>
      </c>
      <c r="G195" s="2" t="n">
        <v>120</v>
      </c>
      <c r="H195" s="2" t="n">
        <v>696</v>
      </c>
      <c r="I195" s="2" t="n">
        <v>607</v>
      </c>
      <c r="J195" s="2" t="n">
        <v>0</v>
      </c>
      <c r="K195" s="2" t="n">
        <v>803</v>
      </c>
      <c r="L195" s="2" t="n">
        <v>0</v>
      </c>
      <c r="M195" s="2" t="n">
        <v>0</v>
      </c>
      <c r="N195" s="2" t="n">
        <v>83</v>
      </c>
      <c r="O195" s="2" t="n">
        <v>386</v>
      </c>
      <c r="Q195" s="2" t="n">
        <f aca="false">F195+G195+H195</f>
        <v>816</v>
      </c>
    </row>
    <row r="196" customFormat="false" ht="12.8" hidden="false" customHeight="false" outlineLevel="0" collapsed="false">
      <c r="A196" s="2" t="s">
        <v>238</v>
      </c>
      <c r="B196" s="2" t="s">
        <v>211</v>
      </c>
      <c r="C196" s="2" t="s">
        <v>223</v>
      </c>
      <c r="D196" s="2" t="n">
        <v>662</v>
      </c>
      <c r="E196" s="2" t="n">
        <v>0</v>
      </c>
      <c r="F196" s="2" t="n">
        <v>0</v>
      </c>
      <c r="G196" s="2" t="n">
        <v>151</v>
      </c>
      <c r="H196" s="2" t="n">
        <v>765</v>
      </c>
      <c r="I196" s="2" t="n">
        <v>691</v>
      </c>
      <c r="J196" s="2" t="n">
        <v>19</v>
      </c>
      <c r="K196" s="2" t="n">
        <v>897</v>
      </c>
      <c r="L196" s="2" t="n">
        <v>0</v>
      </c>
      <c r="M196" s="2" t="n">
        <v>0</v>
      </c>
      <c r="N196" s="2" t="n">
        <v>124</v>
      </c>
      <c r="O196" s="2" t="n">
        <v>525</v>
      </c>
      <c r="Q196" s="2" t="n">
        <f aca="false">F196+G196+H196</f>
        <v>916</v>
      </c>
    </row>
    <row r="197" customFormat="false" ht="12.8" hidden="false" customHeight="false" outlineLevel="0" collapsed="false">
      <c r="A197" s="2" t="s">
        <v>238</v>
      </c>
      <c r="B197" s="2" t="s">
        <v>211</v>
      </c>
      <c r="C197" s="2" t="s">
        <v>224</v>
      </c>
      <c r="D197" s="2" t="n">
        <v>637</v>
      </c>
      <c r="E197" s="2" t="n">
        <v>0</v>
      </c>
      <c r="F197" s="2" t="n">
        <v>0</v>
      </c>
      <c r="G197" s="2" t="n">
        <v>144</v>
      </c>
      <c r="H197" s="2" t="n">
        <v>717</v>
      </c>
      <c r="I197" s="2" t="n">
        <v>665</v>
      </c>
      <c r="J197" s="2" t="n">
        <v>9</v>
      </c>
      <c r="K197" s="2" t="n">
        <v>847</v>
      </c>
      <c r="L197" s="2" t="n">
        <v>0</v>
      </c>
      <c r="M197" s="2" t="n">
        <v>0</v>
      </c>
      <c r="N197" s="2" t="n">
        <v>115</v>
      </c>
      <c r="O197" s="2" t="n">
        <v>548</v>
      </c>
      <c r="Q197" s="2" t="n">
        <f aca="false">F197+G197+H197</f>
        <v>861</v>
      </c>
    </row>
    <row r="198" customFormat="false" ht="12.8" hidden="false" customHeight="false" outlineLevel="0" collapsed="false">
      <c r="A198" s="2" t="s">
        <v>239</v>
      </c>
      <c r="B198" s="2" t="s">
        <v>211</v>
      </c>
      <c r="C198" s="2" t="s">
        <v>212</v>
      </c>
      <c r="D198" s="2" t="n">
        <v>243</v>
      </c>
      <c r="E198" s="2" t="n">
        <v>0</v>
      </c>
      <c r="F198" s="2" t="n">
        <v>0</v>
      </c>
      <c r="G198" s="2" t="n">
        <v>39</v>
      </c>
      <c r="H198" s="2" t="n">
        <v>336</v>
      </c>
      <c r="I198" s="2" t="n">
        <v>29</v>
      </c>
      <c r="J198" s="2" t="n">
        <v>0</v>
      </c>
      <c r="K198" s="2" t="n">
        <v>225</v>
      </c>
      <c r="L198" s="2" t="n">
        <v>0</v>
      </c>
      <c r="M198" s="2" t="n">
        <v>151</v>
      </c>
      <c r="N198" s="2" t="n">
        <v>18</v>
      </c>
      <c r="O198" s="2" t="n">
        <v>107</v>
      </c>
      <c r="Q198" s="2" t="n">
        <f aca="false">F198+G198+H198</f>
        <v>375</v>
      </c>
    </row>
    <row r="199" customFormat="false" ht="12.8" hidden="false" customHeight="false" outlineLevel="0" collapsed="false">
      <c r="A199" s="2" t="s">
        <v>239</v>
      </c>
      <c r="B199" s="2" t="s">
        <v>211</v>
      </c>
      <c r="C199" s="2" t="s">
        <v>213</v>
      </c>
      <c r="D199" s="2" t="n">
        <v>265</v>
      </c>
      <c r="E199" s="2" t="n">
        <v>0</v>
      </c>
      <c r="F199" s="2" t="n">
        <v>0</v>
      </c>
      <c r="G199" s="2" t="n">
        <v>302</v>
      </c>
      <c r="H199" s="2" t="n">
        <v>110</v>
      </c>
      <c r="I199" s="2" t="n">
        <v>0</v>
      </c>
      <c r="J199" s="2" t="n">
        <v>48</v>
      </c>
      <c r="K199" s="2" t="n">
        <v>237</v>
      </c>
      <c r="L199" s="2" t="n">
        <v>0</v>
      </c>
      <c r="M199" s="2" t="n">
        <v>162</v>
      </c>
      <c r="N199" s="2" t="n">
        <v>30</v>
      </c>
      <c r="O199" s="2" t="n">
        <v>137</v>
      </c>
      <c r="Q199" s="2" t="n">
        <f aca="false">F199+G199+H199</f>
        <v>412</v>
      </c>
    </row>
    <row r="200" customFormat="false" ht="12.8" hidden="false" customHeight="false" outlineLevel="0" collapsed="false">
      <c r="A200" s="2" t="s">
        <v>239</v>
      </c>
      <c r="B200" s="2" t="s">
        <v>211</v>
      </c>
      <c r="C200" s="2" t="s">
        <v>214</v>
      </c>
      <c r="D200" s="2" t="n">
        <v>357</v>
      </c>
      <c r="E200" s="2" t="n">
        <v>0</v>
      </c>
      <c r="F200" s="2" t="n">
        <v>0</v>
      </c>
      <c r="G200" s="2" t="n">
        <v>393</v>
      </c>
      <c r="H200" s="2" t="n">
        <v>223</v>
      </c>
      <c r="I200" s="2" t="n">
        <v>14</v>
      </c>
      <c r="J200" s="2" t="n">
        <v>82</v>
      </c>
      <c r="K200" s="2" t="n">
        <v>402</v>
      </c>
      <c r="L200" s="2" t="n">
        <v>0</v>
      </c>
      <c r="M200" s="2" t="n">
        <v>225</v>
      </c>
      <c r="N200" s="2" t="n">
        <v>76</v>
      </c>
      <c r="O200" s="2" t="n">
        <v>212</v>
      </c>
      <c r="Q200" s="2" t="n">
        <f aca="false">F200+G200+H200</f>
        <v>616</v>
      </c>
    </row>
    <row r="201" customFormat="false" ht="12.8" hidden="false" customHeight="false" outlineLevel="0" collapsed="false">
      <c r="A201" s="2" t="s">
        <v>239</v>
      </c>
      <c r="B201" s="2" t="s">
        <v>211</v>
      </c>
      <c r="C201" s="2" t="s">
        <v>215</v>
      </c>
      <c r="D201" s="2" t="n">
        <v>348</v>
      </c>
      <c r="E201" s="2" t="n">
        <v>0</v>
      </c>
      <c r="F201" s="2" t="n">
        <v>0</v>
      </c>
      <c r="G201" s="2" t="n">
        <v>374</v>
      </c>
      <c r="H201" s="2" t="n">
        <v>235</v>
      </c>
      <c r="I201" s="2" t="n">
        <v>38</v>
      </c>
      <c r="J201" s="2" t="n">
        <v>81</v>
      </c>
      <c r="K201" s="2" t="n">
        <v>406</v>
      </c>
      <c r="L201" s="2" t="n">
        <v>0</v>
      </c>
      <c r="M201" s="2" t="n">
        <v>254</v>
      </c>
      <c r="N201" s="2" t="n">
        <v>123</v>
      </c>
      <c r="O201" s="2" t="n">
        <v>198</v>
      </c>
      <c r="Q201" s="2" t="n">
        <f aca="false">F201+G201+H201</f>
        <v>609</v>
      </c>
    </row>
    <row r="202" customFormat="false" ht="12.8" hidden="false" customHeight="false" outlineLevel="0" collapsed="false">
      <c r="A202" s="2" t="s">
        <v>239</v>
      </c>
      <c r="B202" s="2" t="s">
        <v>211</v>
      </c>
      <c r="C202" s="2" t="s">
        <v>216</v>
      </c>
      <c r="D202" s="2" t="n">
        <v>389</v>
      </c>
      <c r="E202" s="2" t="n">
        <v>0</v>
      </c>
      <c r="F202" s="2" t="n">
        <v>0</v>
      </c>
      <c r="G202" s="2" t="n">
        <v>411</v>
      </c>
      <c r="H202" s="2" t="n">
        <v>334</v>
      </c>
      <c r="I202" s="2" t="n">
        <v>31</v>
      </c>
      <c r="J202" s="2" t="n">
        <v>122</v>
      </c>
      <c r="K202" s="2" t="n">
        <v>545</v>
      </c>
      <c r="L202" s="2" t="n">
        <v>0</v>
      </c>
      <c r="M202" s="2" t="n">
        <v>271</v>
      </c>
      <c r="N202" s="2" t="n">
        <v>113</v>
      </c>
      <c r="O202" s="2" t="n">
        <v>236</v>
      </c>
      <c r="Q202" s="2" t="n">
        <f aca="false">F202+G202+H202</f>
        <v>745</v>
      </c>
    </row>
    <row r="203" customFormat="false" ht="12.8" hidden="false" customHeight="false" outlineLevel="0" collapsed="false">
      <c r="A203" s="2" t="s">
        <v>239</v>
      </c>
      <c r="B203" s="2" t="s">
        <v>211</v>
      </c>
      <c r="C203" s="2" t="s">
        <v>217</v>
      </c>
      <c r="D203" s="2" t="n">
        <v>291</v>
      </c>
      <c r="E203" s="2" t="n">
        <v>0</v>
      </c>
      <c r="F203" s="2" t="n">
        <v>0</v>
      </c>
      <c r="G203" s="2" t="n">
        <v>49</v>
      </c>
      <c r="H203" s="2" t="n">
        <v>487</v>
      </c>
      <c r="I203" s="2" t="n">
        <v>40</v>
      </c>
      <c r="J203" s="2" t="n">
        <v>0</v>
      </c>
      <c r="K203" s="2" t="n">
        <v>290</v>
      </c>
      <c r="L203" s="2" t="n">
        <v>0</v>
      </c>
      <c r="M203" s="2" t="n">
        <v>234</v>
      </c>
      <c r="N203" s="2" t="n">
        <v>41</v>
      </c>
      <c r="O203" s="2" t="n">
        <v>180</v>
      </c>
      <c r="Q203" s="2" t="n">
        <f aca="false">F203+G203+H203</f>
        <v>536</v>
      </c>
    </row>
    <row r="204" customFormat="false" ht="12.8" hidden="false" customHeight="false" outlineLevel="0" collapsed="false">
      <c r="A204" s="2" t="s">
        <v>239</v>
      </c>
      <c r="B204" s="2" t="s">
        <v>211</v>
      </c>
      <c r="C204" s="2" t="s">
        <v>218</v>
      </c>
      <c r="D204" s="2" t="n">
        <v>298</v>
      </c>
      <c r="E204" s="2" t="n">
        <v>0</v>
      </c>
      <c r="F204" s="2" t="n">
        <v>0</v>
      </c>
      <c r="G204" s="2" t="n">
        <v>51</v>
      </c>
      <c r="H204" s="2" t="n">
        <v>495</v>
      </c>
      <c r="I204" s="2" t="n">
        <v>36</v>
      </c>
      <c r="J204" s="2" t="n">
        <v>16</v>
      </c>
      <c r="K204" s="2" t="n">
        <v>338</v>
      </c>
      <c r="L204" s="2" t="n">
        <v>0</v>
      </c>
      <c r="M204" s="2" t="n">
        <v>203</v>
      </c>
      <c r="N204" s="2" t="n">
        <v>24</v>
      </c>
      <c r="O204" s="2" t="n">
        <v>187</v>
      </c>
      <c r="Q204" s="2" t="n">
        <f aca="false">F204+G204+H204</f>
        <v>546</v>
      </c>
    </row>
    <row r="205" customFormat="false" ht="12.8" hidden="false" customHeight="false" outlineLevel="0" collapsed="false">
      <c r="A205" s="2" t="s">
        <v>239</v>
      </c>
      <c r="B205" s="2" t="s">
        <v>211</v>
      </c>
      <c r="C205" s="2" t="s">
        <v>219</v>
      </c>
      <c r="D205" s="2" t="n">
        <v>313</v>
      </c>
      <c r="E205" s="2" t="n">
        <v>0</v>
      </c>
      <c r="F205" s="2" t="n">
        <v>0</v>
      </c>
      <c r="G205" s="2" t="n">
        <v>62</v>
      </c>
      <c r="H205" s="2" t="n">
        <v>451</v>
      </c>
      <c r="I205" s="2" t="n">
        <v>35</v>
      </c>
      <c r="J205" s="2" t="n">
        <v>47</v>
      </c>
      <c r="K205" s="2" t="n">
        <v>312</v>
      </c>
      <c r="L205" s="2" t="n">
        <v>0</v>
      </c>
      <c r="M205" s="2" t="n">
        <v>190</v>
      </c>
      <c r="N205" s="2" t="n">
        <v>31</v>
      </c>
      <c r="O205" s="2" t="n">
        <v>181</v>
      </c>
      <c r="Q205" s="2" t="n">
        <f aca="false">F205+G205+H205</f>
        <v>513</v>
      </c>
    </row>
    <row r="206" customFormat="false" ht="12.8" hidden="false" customHeight="false" outlineLevel="0" collapsed="false">
      <c r="A206" s="2" t="s">
        <v>239</v>
      </c>
      <c r="B206" s="2" t="s">
        <v>211</v>
      </c>
      <c r="C206" s="2" t="s">
        <v>220</v>
      </c>
      <c r="D206" s="2" t="n">
        <v>325</v>
      </c>
      <c r="E206" s="2" t="n">
        <v>0</v>
      </c>
      <c r="F206" s="2" t="n">
        <v>0</v>
      </c>
      <c r="G206" s="2" t="n">
        <v>70</v>
      </c>
      <c r="H206" s="2" t="n">
        <v>433</v>
      </c>
      <c r="I206" s="2" t="n">
        <v>53</v>
      </c>
      <c r="J206" s="2" t="n">
        <v>36</v>
      </c>
      <c r="K206" s="2" t="n">
        <v>288</v>
      </c>
      <c r="L206" s="2" t="n">
        <v>0</v>
      </c>
      <c r="M206" s="2" t="n">
        <v>189</v>
      </c>
      <c r="N206" s="2" t="n">
        <v>33</v>
      </c>
      <c r="O206" s="2" t="n">
        <v>177</v>
      </c>
      <c r="Q206" s="2" t="n">
        <f aca="false">F206+G206+H206</f>
        <v>503</v>
      </c>
    </row>
    <row r="207" customFormat="false" ht="12.8" hidden="false" customHeight="false" outlineLevel="0" collapsed="false">
      <c r="A207" s="2" t="s">
        <v>239</v>
      </c>
      <c r="B207" s="2" t="s">
        <v>211</v>
      </c>
      <c r="C207" s="2" t="s">
        <v>221</v>
      </c>
      <c r="D207" s="2" t="n">
        <v>291</v>
      </c>
      <c r="E207" s="2" t="n">
        <v>0</v>
      </c>
      <c r="F207" s="2" t="n">
        <v>0</v>
      </c>
      <c r="G207" s="2" t="n">
        <v>61</v>
      </c>
      <c r="H207" s="2" t="n">
        <v>426</v>
      </c>
      <c r="I207" s="2" t="n">
        <v>27</v>
      </c>
      <c r="J207" s="2" t="n">
        <v>44</v>
      </c>
      <c r="K207" s="2" t="n">
        <v>332</v>
      </c>
      <c r="L207" s="2" t="n">
        <v>0</v>
      </c>
      <c r="M207" s="2" t="n">
        <v>156</v>
      </c>
      <c r="N207" s="2" t="n">
        <v>18</v>
      </c>
      <c r="O207" s="2" t="n">
        <v>182</v>
      </c>
      <c r="Q207" s="2" t="n">
        <f aca="false">F207+G207+H207</f>
        <v>487</v>
      </c>
    </row>
    <row r="208" customFormat="false" ht="12.8" hidden="false" customHeight="false" outlineLevel="0" collapsed="false">
      <c r="A208" s="2" t="s">
        <v>239</v>
      </c>
      <c r="B208" s="2" t="s">
        <v>211</v>
      </c>
      <c r="C208" s="2" t="s">
        <v>222</v>
      </c>
      <c r="D208" s="2" t="n">
        <v>316</v>
      </c>
      <c r="E208" s="2" t="n">
        <v>0</v>
      </c>
      <c r="F208" s="2" t="n">
        <v>0</v>
      </c>
      <c r="G208" s="2" t="n">
        <v>47</v>
      </c>
      <c r="H208" s="2" t="n">
        <v>433</v>
      </c>
      <c r="I208" s="2" t="n">
        <v>39</v>
      </c>
      <c r="J208" s="2" t="n">
        <v>55</v>
      </c>
      <c r="K208" s="2" t="n">
        <v>314</v>
      </c>
      <c r="L208" s="2" t="n">
        <v>0</v>
      </c>
      <c r="M208" s="2" t="n">
        <v>153</v>
      </c>
      <c r="N208" s="2" t="n">
        <v>30</v>
      </c>
      <c r="O208" s="2" t="n">
        <v>141</v>
      </c>
      <c r="Q208" s="2" t="n">
        <f aca="false">F208+G208+H208</f>
        <v>480</v>
      </c>
    </row>
    <row r="209" customFormat="false" ht="12.8" hidden="false" customHeight="false" outlineLevel="0" collapsed="false">
      <c r="A209" s="2" t="s">
        <v>239</v>
      </c>
      <c r="B209" s="2" t="s">
        <v>211</v>
      </c>
      <c r="C209" s="2" t="s">
        <v>223</v>
      </c>
      <c r="D209" s="2" t="n">
        <v>347</v>
      </c>
      <c r="E209" s="2" t="n">
        <v>0</v>
      </c>
      <c r="F209" s="2" t="n">
        <v>0</v>
      </c>
      <c r="G209" s="2" t="n">
        <v>121</v>
      </c>
      <c r="H209" s="2" t="n">
        <v>367</v>
      </c>
      <c r="I209" s="2" t="n">
        <v>26</v>
      </c>
      <c r="J209" s="2" t="n">
        <v>44</v>
      </c>
      <c r="K209" s="2" t="n">
        <v>305</v>
      </c>
      <c r="L209" s="2" t="n">
        <v>0</v>
      </c>
      <c r="M209" s="2" t="n">
        <v>183</v>
      </c>
      <c r="N209" s="2" t="n">
        <v>42</v>
      </c>
      <c r="O209" s="2" t="n">
        <v>152</v>
      </c>
      <c r="Q209" s="2" t="n">
        <f aca="false">F209+G209+H209</f>
        <v>488</v>
      </c>
    </row>
    <row r="210" customFormat="false" ht="12.8" hidden="false" customHeight="false" outlineLevel="0" collapsed="false">
      <c r="A210" s="2" t="s">
        <v>239</v>
      </c>
      <c r="B210" s="2" t="s">
        <v>211</v>
      </c>
      <c r="C210" s="2" t="s">
        <v>224</v>
      </c>
      <c r="D210" s="2" t="n">
        <v>310</v>
      </c>
      <c r="E210" s="2" t="n">
        <v>0</v>
      </c>
      <c r="F210" s="2" t="n">
        <v>0</v>
      </c>
      <c r="G210" s="2" t="n">
        <v>328</v>
      </c>
      <c r="H210" s="2" t="n">
        <v>117</v>
      </c>
      <c r="I210" s="2" t="n">
        <v>0</v>
      </c>
      <c r="J210" s="2" t="n">
        <v>57</v>
      </c>
      <c r="K210" s="2" t="n">
        <v>300</v>
      </c>
      <c r="L210" s="2" t="n">
        <v>0</v>
      </c>
      <c r="M210" s="2" t="n">
        <v>149</v>
      </c>
      <c r="N210" s="2" t="n">
        <v>25</v>
      </c>
      <c r="O210" s="2" t="n">
        <v>162</v>
      </c>
      <c r="Q210" s="2" t="n">
        <f aca="false">F210+G210+H210</f>
        <v>445</v>
      </c>
    </row>
    <row r="211" customFormat="false" ht="12.8" hidden="false" customHeight="false" outlineLevel="0" collapsed="false">
      <c r="A211" s="2" t="s">
        <v>240</v>
      </c>
      <c r="B211" s="2" t="s">
        <v>211</v>
      </c>
      <c r="C211" s="2" t="s">
        <v>212</v>
      </c>
      <c r="D211" s="2" t="n">
        <v>1150</v>
      </c>
      <c r="E211" s="2" t="n">
        <v>0</v>
      </c>
      <c r="F211" s="2" t="n">
        <v>576</v>
      </c>
      <c r="G211" s="2" t="n">
        <v>613</v>
      </c>
      <c r="H211" s="2" t="n">
        <v>328</v>
      </c>
      <c r="I211" s="2" t="n">
        <v>282</v>
      </c>
      <c r="J211" s="2" t="n">
        <v>333</v>
      </c>
      <c r="K211" s="2" t="n">
        <v>1282</v>
      </c>
      <c r="L211" s="2" t="n">
        <v>0</v>
      </c>
      <c r="M211" s="2" t="n">
        <v>151</v>
      </c>
      <c r="N211" s="2" t="n">
        <v>202</v>
      </c>
      <c r="O211" s="2" t="n">
        <v>521</v>
      </c>
      <c r="Q211" s="2" t="n">
        <f aca="false">F211+G211+H211</f>
        <v>1517</v>
      </c>
    </row>
    <row r="212" customFormat="false" ht="12.8" hidden="false" customHeight="false" outlineLevel="0" collapsed="false">
      <c r="A212" s="2" t="s">
        <v>240</v>
      </c>
      <c r="B212" s="2" t="s">
        <v>211</v>
      </c>
      <c r="C212" s="2" t="s">
        <v>213</v>
      </c>
      <c r="D212" s="2" t="n">
        <v>1087</v>
      </c>
      <c r="E212" s="2" t="n">
        <v>0</v>
      </c>
      <c r="F212" s="2" t="n">
        <v>559</v>
      </c>
      <c r="G212" s="2" t="n">
        <v>660</v>
      </c>
      <c r="H212" s="2" t="n">
        <v>263</v>
      </c>
      <c r="I212" s="2" t="n">
        <v>159</v>
      </c>
      <c r="J212" s="2" t="n">
        <v>437</v>
      </c>
      <c r="K212" s="2" t="n">
        <v>1283</v>
      </c>
      <c r="L212" s="2" t="n">
        <v>47</v>
      </c>
      <c r="M212" s="2" t="n">
        <v>139</v>
      </c>
      <c r="N212" s="2" t="n">
        <v>140</v>
      </c>
      <c r="O212" s="2" t="n">
        <v>903</v>
      </c>
      <c r="Q212" s="2" t="n">
        <f aca="false">F212+G212+H212</f>
        <v>1482</v>
      </c>
    </row>
    <row r="213" customFormat="false" ht="12.8" hidden="false" customHeight="false" outlineLevel="0" collapsed="false">
      <c r="A213" s="2" t="s">
        <v>240</v>
      </c>
      <c r="B213" s="2" t="s">
        <v>211</v>
      </c>
      <c r="C213" s="2" t="s">
        <v>214</v>
      </c>
      <c r="D213" s="2" t="n">
        <v>1252</v>
      </c>
      <c r="E213" s="2" t="n">
        <v>0</v>
      </c>
      <c r="F213" s="2" t="n">
        <v>646</v>
      </c>
      <c r="G213" s="2" t="n">
        <v>720</v>
      </c>
      <c r="H213" s="2" t="n">
        <v>308</v>
      </c>
      <c r="I213" s="2" t="n">
        <v>270</v>
      </c>
      <c r="J213" s="2" t="n">
        <v>538</v>
      </c>
      <c r="K213" s="2" t="n">
        <v>1442</v>
      </c>
      <c r="L213" s="2" t="n">
        <v>39</v>
      </c>
      <c r="M213" s="2" t="n">
        <v>159</v>
      </c>
      <c r="N213" s="2" t="n">
        <v>180</v>
      </c>
      <c r="O213" s="2" t="n">
        <v>886</v>
      </c>
      <c r="Q213" s="2" t="n">
        <f aca="false">F213+G213+H213</f>
        <v>1674</v>
      </c>
    </row>
    <row r="214" customFormat="false" ht="12.8" hidden="false" customHeight="false" outlineLevel="0" collapsed="false">
      <c r="A214" s="2" t="s">
        <v>240</v>
      </c>
      <c r="B214" s="2" t="s">
        <v>211</v>
      </c>
      <c r="C214" s="2" t="s">
        <v>215</v>
      </c>
      <c r="D214" s="2" t="n">
        <v>1127</v>
      </c>
      <c r="E214" s="2" t="n">
        <v>0</v>
      </c>
      <c r="F214" s="2" t="n">
        <v>617</v>
      </c>
      <c r="G214" s="2" t="n">
        <v>636</v>
      </c>
      <c r="H214" s="2" t="n">
        <v>279</v>
      </c>
      <c r="I214" s="2" t="n">
        <v>226</v>
      </c>
      <c r="J214" s="2" t="n">
        <v>463</v>
      </c>
      <c r="K214" s="2" t="n">
        <v>1214</v>
      </c>
      <c r="L214" s="2" t="n">
        <v>23</v>
      </c>
      <c r="M214" s="2" t="n">
        <v>179</v>
      </c>
      <c r="N214" s="2" t="n">
        <v>146</v>
      </c>
      <c r="O214" s="2" t="n">
        <v>698</v>
      </c>
      <c r="Q214" s="2" t="n">
        <f aca="false">F214+G214+H214</f>
        <v>1532</v>
      </c>
    </row>
    <row r="215" customFormat="false" ht="12.8" hidden="false" customHeight="false" outlineLevel="0" collapsed="false">
      <c r="A215" s="2" t="s">
        <v>240</v>
      </c>
      <c r="B215" s="2" t="s">
        <v>211</v>
      </c>
      <c r="C215" s="2" t="s">
        <v>216</v>
      </c>
      <c r="D215" s="2" t="n">
        <v>1122</v>
      </c>
      <c r="E215" s="2" t="n">
        <v>0</v>
      </c>
      <c r="F215" s="2" t="n">
        <v>627</v>
      </c>
      <c r="G215" s="2" t="n">
        <v>673</v>
      </c>
      <c r="H215" s="2" t="n">
        <v>273</v>
      </c>
      <c r="I215" s="2" t="n">
        <v>169</v>
      </c>
      <c r="J215" s="2" t="n">
        <v>490</v>
      </c>
      <c r="K215" s="2" t="n">
        <v>1194</v>
      </c>
      <c r="L215" s="2" t="n">
        <v>39</v>
      </c>
      <c r="M215" s="2" t="n">
        <v>219</v>
      </c>
      <c r="N215" s="2" t="n">
        <v>130</v>
      </c>
      <c r="O215" s="2" t="n">
        <v>705</v>
      </c>
      <c r="Q215" s="2" t="n">
        <f aca="false">F215+G215+H215</f>
        <v>1573</v>
      </c>
    </row>
    <row r="216" customFormat="false" ht="12.8" hidden="false" customHeight="false" outlineLevel="0" collapsed="false">
      <c r="A216" s="2" t="s">
        <v>240</v>
      </c>
      <c r="B216" s="2" t="s">
        <v>211</v>
      </c>
      <c r="C216" s="2" t="s">
        <v>217</v>
      </c>
      <c r="D216" s="2" t="n">
        <v>1204</v>
      </c>
      <c r="E216" s="2" t="n">
        <v>0</v>
      </c>
      <c r="F216" s="2" t="n">
        <v>739</v>
      </c>
      <c r="G216" s="2" t="n">
        <v>562</v>
      </c>
      <c r="H216" s="2" t="n">
        <v>327</v>
      </c>
      <c r="I216" s="2" t="n">
        <v>294</v>
      </c>
      <c r="J216" s="2" t="n">
        <v>395</v>
      </c>
      <c r="K216" s="2" t="n">
        <v>1132</v>
      </c>
      <c r="L216" s="2" t="n">
        <v>0</v>
      </c>
      <c r="M216" s="2" t="n">
        <v>223</v>
      </c>
      <c r="N216" s="2" t="n">
        <v>296</v>
      </c>
      <c r="O216" s="2" t="n">
        <v>652</v>
      </c>
      <c r="Q216" s="2" t="n">
        <f aca="false">F216+G216+H216</f>
        <v>1628</v>
      </c>
    </row>
    <row r="217" customFormat="false" ht="12.8" hidden="false" customHeight="false" outlineLevel="0" collapsed="false">
      <c r="A217" s="2" t="s">
        <v>240</v>
      </c>
      <c r="B217" s="2" t="s">
        <v>211</v>
      </c>
      <c r="C217" s="2" t="s">
        <v>218</v>
      </c>
      <c r="D217" s="2" t="n">
        <v>1033</v>
      </c>
      <c r="E217" s="2" t="n">
        <v>0</v>
      </c>
      <c r="F217" s="2" t="n">
        <v>670</v>
      </c>
      <c r="G217" s="2" t="n">
        <v>490</v>
      </c>
      <c r="H217" s="2" t="n">
        <v>290</v>
      </c>
      <c r="I217" s="2" t="n">
        <v>276</v>
      </c>
      <c r="J217" s="2" t="n">
        <v>304</v>
      </c>
      <c r="K217" s="2" t="n">
        <v>1106</v>
      </c>
      <c r="L217" s="2" t="n">
        <v>0</v>
      </c>
      <c r="M217" s="2" t="n">
        <v>185</v>
      </c>
      <c r="N217" s="2" t="n">
        <v>179</v>
      </c>
      <c r="O217" s="2" t="n">
        <v>451</v>
      </c>
      <c r="Q217" s="2" t="n">
        <f aca="false">F217+G217+H217</f>
        <v>1450</v>
      </c>
    </row>
    <row r="218" customFormat="false" ht="12.8" hidden="false" customHeight="false" outlineLevel="0" collapsed="false">
      <c r="A218" s="2" t="s">
        <v>240</v>
      </c>
      <c r="B218" s="2" t="s">
        <v>211</v>
      </c>
      <c r="C218" s="2" t="s">
        <v>219</v>
      </c>
      <c r="D218" s="2" t="n">
        <v>1221</v>
      </c>
      <c r="E218" s="2" t="n">
        <v>0</v>
      </c>
      <c r="F218" s="2" t="n">
        <v>683</v>
      </c>
      <c r="G218" s="2" t="n">
        <v>558</v>
      </c>
      <c r="H218" s="2" t="n">
        <v>365</v>
      </c>
      <c r="I218" s="2" t="n">
        <v>224</v>
      </c>
      <c r="J218" s="2" t="n">
        <v>414</v>
      </c>
      <c r="K218" s="2" t="n">
        <v>1188</v>
      </c>
      <c r="L218" s="2" t="n">
        <v>21</v>
      </c>
      <c r="M218" s="2" t="n">
        <v>218</v>
      </c>
      <c r="N218" s="2" t="n">
        <v>230</v>
      </c>
      <c r="O218" s="2" t="n">
        <v>680</v>
      </c>
      <c r="Q218" s="2" t="n">
        <f aca="false">F218+G218+H218</f>
        <v>1606</v>
      </c>
    </row>
    <row r="219" customFormat="false" ht="12.8" hidden="false" customHeight="false" outlineLevel="0" collapsed="false">
      <c r="A219" s="2" t="s">
        <v>240</v>
      </c>
      <c r="B219" s="2" t="s">
        <v>211</v>
      </c>
      <c r="C219" s="2" t="s">
        <v>220</v>
      </c>
      <c r="D219" s="2" t="n">
        <v>1094</v>
      </c>
      <c r="E219" s="2" t="n">
        <v>0</v>
      </c>
      <c r="F219" s="2" t="n">
        <v>584</v>
      </c>
      <c r="G219" s="2" t="n">
        <v>498</v>
      </c>
      <c r="H219" s="2" t="n">
        <v>367</v>
      </c>
      <c r="I219" s="2" t="n">
        <v>127</v>
      </c>
      <c r="J219" s="2" t="n">
        <v>234</v>
      </c>
      <c r="K219" s="2" t="n">
        <v>1313</v>
      </c>
      <c r="L219" s="2" t="n">
        <v>49</v>
      </c>
      <c r="M219" s="2" t="n">
        <v>176</v>
      </c>
      <c r="N219" s="2" t="n">
        <v>176</v>
      </c>
      <c r="O219" s="2" t="n">
        <v>575</v>
      </c>
      <c r="Q219" s="2" t="n">
        <f aca="false">F219+G219+H219</f>
        <v>1449</v>
      </c>
    </row>
    <row r="220" customFormat="false" ht="12.8" hidden="false" customHeight="false" outlineLevel="0" collapsed="false">
      <c r="A220" s="2" t="s">
        <v>240</v>
      </c>
      <c r="B220" s="2" t="s">
        <v>211</v>
      </c>
      <c r="C220" s="2" t="s">
        <v>221</v>
      </c>
      <c r="D220" s="2" t="n">
        <v>1189</v>
      </c>
      <c r="E220" s="2" t="n">
        <v>0</v>
      </c>
      <c r="F220" s="2" t="n">
        <v>706</v>
      </c>
      <c r="G220" s="2" t="n">
        <v>590</v>
      </c>
      <c r="H220" s="2" t="n">
        <v>350</v>
      </c>
      <c r="I220" s="2" t="n">
        <v>206</v>
      </c>
      <c r="J220" s="2" t="n">
        <v>412</v>
      </c>
      <c r="K220" s="2" t="n">
        <v>1330</v>
      </c>
      <c r="L220" s="2" t="n">
        <v>11</v>
      </c>
      <c r="M220" s="2" t="n">
        <v>192</v>
      </c>
      <c r="N220" s="2" t="n">
        <v>253</v>
      </c>
      <c r="O220" s="2" t="n">
        <v>663</v>
      </c>
      <c r="Q220" s="2" t="n">
        <f aca="false">F220+G220+H220</f>
        <v>1646</v>
      </c>
    </row>
    <row r="221" customFormat="false" ht="12.8" hidden="false" customHeight="false" outlineLevel="0" collapsed="false">
      <c r="A221" s="2" t="s">
        <v>240</v>
      </c>
      <c r="B221" s="2" t="s">
        <v>211</v>
      </c>
      <c r="C221" s="2" t="s">
        <v>222</v>
      </c>
      <c r="D221" s="2" t="n">
        <v>1051</v>
      </c>
      <c r="E221" s="2" t="n">
        <v>0</v>
      </c>
      <c r="F221" s="2" t="n">
        <v>643</v>
      </c>
      <c r="G221" s="2" t="n">
        <v>485</v>
      </c>
      <c r="H221" s="2" t="n">
        <v>296</v>
      </c>
      <c r="I221" s="2" t="n">
        <v>224</v>
      </c>
      <c r="J221" s="2" t="n">
        <v>366</v>
      </c>
      <c r="K221" s="2" t="n">
        <v>1183</v>
      </c>
      <c r="L221" s="2" t="n">
        <v>15</v>
      </c>
      <c r="M221" s="2" t="n">
        <v>156</v>
      </c>
      <c r="N221" s="2" t="n">
        <v>223</v>
      </c>
      <c r="O221" s="2" t="n">
        <v>622</v>
      </c>
      <c r="Q221" s="2" t="n">
        <f aca="false">F221+G221+H221</f>
        <v>1424</v>
      </c>
    </row>
    <row r="222" customFormat="false" ht="12.8" hidden="false" customHeight="false" outlineLevel="0" collapsed="false">
      <c r="A222" s="2" t="s">
        <v>240</v>
      </c>
      <c r="B222" s="2" t="s">
        <v>211</v>
      </c>
      <c r="C222" s="2" t="s">
        <v>223</v>
      </c>
      <c r="D222" s="2" t="n">
        <v>1118</v>
      </c>
      <c r="E222" s="2" t="n">
        <v>0</v>
      </c>
      <c r="F222" s="2" t="n">
        <v>687</v>
      </c>
      <c r="G222" s="2" t="n">
        <v>527</v>
      </c>
      <c r="H222" s="2" t="n">
        <v>284</v>
      </c>
      <c r="I222" s="2" t="n">
        <v>199</v>
      </c>
      <c r="J222" s="2" t="n">
        <v>436</v>
      </c>
      <c r="K222" s="2" t="n">
        <v>1168</v>
      </c>
      <c r="L222" s="2" t="n">
        <v>57</v>
      </c>
      <c r="M222" s="2" t="n">
        <v>196</v>
      </c>
      <c r="N222" s="2" t="n">
        <v>189</v>
      </c>
      <c r="O222" s="2" t="n">
        <v>627</v>
      </c>
      <c r="Q222" s="2" t="n">
        <f aca="false">F222+G222+H222</f>
        <v>1498</v>
      </c>
    </row>
    <row r="223" customFormat="false" ht="12.8" hidden="false" customHeight="false" outlineLevel="0" collapsed="false">
      <c r="A223" s="2" t="s">
        <v>240</v>
      </c>
      <c r="B223" s="2" t="s">
        <v>211</v>
      </c>
      <c r="C223" s="2" t="s">
        <v>224</v>
      </c>
      <c r="D223" s="2" t="n">
        <v>1095</v>
      </c>
      <c r="E223" s="2" t="n">
        <v>0</v>
      </c>
      <c r="F223" s="2" t="n">
        <v>602</v>
      </c>
      <c r="G223" s="2" t="n">
        <v>587</v>
      </c>
      <c r="H223" s="2" t="n">
        <v>302</v>
      </c>
      <c r="I223" s="2" t="n">
        <v>249</v>
      </c>
      <c r="J223" s="2" t="n">
        <v>418</v>
      </c>
      <c r="K223" s="2" t="n">
        <v>1273</v>
      </c>
      <c r="L223" s="2" t="n">
        <v>62</v>
      </c>
      <c r="M223" s="2" t="n">
        <v>163</v>
      </c>
      <c r="N223" s="2" t="n">
        <v>182</v>
      </c>
      <c r="O223" s="2" t="n">
        <v>825</v>
      </c>
      <c r="Q223" s="2" t="n">
        <f aca="false">F223+G223+H223</f>
        <v>1491</v>
      </c>
    </row>
    <row r="224" customFormat="false" ht="12.8" hidden="false" customHeight="false" outlineLevel="0" collapsed="false">
      <c r="A224" s="2" t="s">
        <v>241</v>
      </c>
      <c r="B224" s="2" t="s">
        <v>211</v>
      </c>
      <c r="C224" s="2" t="s">
        <v>212</v>
      </c>
      <c r="D224" s="2" t="n">
        <v>862</v>
      </c>
      <c r="E224" s="2" t="n">
        <v>0</v>
      </c>
      <c r="F224" s="2" t="n">
        <v>588</v>
      </c>
      <c r="G224" s="2" t="n">
        <v>297</v>
      </c>
      <c r="H224" s="2" t="n">
        <v>312</v>
      </c>
      <c r="I224" s="2" t="n">
        <v>395</v>
      </c>
      <c r="J224" s="2" t="n">
        <v>271</v>
      </c>
      <c r="K224" s="2" t="n">
        <v>818</v>
      </c>
      <c r="L224" s="2" t="n">
        <v>0</v>
      </c>
      <c r="M224" s="2" t="n">
        <v>228</v>
      </c>
      <c r="N224" s="2" t="n">
        <v>299</v>
      </c>
      <c r="O224" s="2" t="n">
        <v>736</v>
      </c>
      <c r="Q224" s="2" t="n">
        <f aca="false">F224+G224+H224</f>
        <v>1197</v>
      </c>
    </row>
    <row r="225" customFormat="false" ht="12.8" hidden="false" customHeight="false" outlineLevel="0" collapsed="false">
      <c r="A225" s="2" t="s">
        <v>241</v>
      </c>
      <c r="B225" s="2" t="s">
        <v>211</v>
      </c>
      <c r="C225" s="2" t="s">
        <v>213</v>
      </c>
      <c r="D225" s="2" t="n">
        <v>771</v>
      </c>
      <c r="E225" s="2" t="n">
        <v>0</v>
      </c>
      <c r="F225" s="2" t="n">
        <v>637</v>
      </c>
      <c r="G225" s="2" t="n">
        <v>235</v>
      </c>
      <c r="H225" s="2" t="n">
        <v>221</v>
      </c>
      <c r="I225" s="2" t="n">
        <v>350</v>
      </c>
      <c r="J225" s="2" t="n">
        <v>325</v>
      </c>
      <c r="K225" s="2" t="n">
        <v>604</v>
      </c>
      <c r="L225" s="2" t="n">
        <v>0</v>
      </c>
      <c r="M225" s="2" t="n">
        <v>210</v>
      </c>
      <c r="N225" s="2" t="n">
        <v>164</v>
      </c>
      <c r="O225" s="2" t="n">
        <v>629</v>
      </c>
      <c r="Q225" s="2" t="n">
        <f aca="false">F225+G225+H225</f>
        <v>1093</v>
      </c>
    </row>
    <row r="226" customFormat="false" ht="12.8" hidden="false" customHeight="false" outlineLevel="0" collapsed="false">
      <c r="A226" s="2" t="s">
        <v>241</v>
      </c>
      <c r="B226" s="2" t="s">
        <v>211</v>
      </c>
      <c r="C226" s="2" t="s">
        <v>214</v>
      </c>
      <c r="D226" s="2" t="n">
        <v>1009</v>
      </c>
      <c r="E226" s="2" t="n">
        <v>0</v>
      </c>
      <c r="F226" s="2" t="n">
        <v>869</v>
      </c>
      <c r="G226" s="2" t="n">
        <v>275</v>
      </c>
      <c r="H226" s="2" t="n">
        <v>360</v>
      </c>
      <c r="I226" s="2" t="n">
        <v>537</v>
      </c>
      <c r="J226" s="2" t="n">
        <v>443</v>
      </c>
      <c r="K226" s="2" t="n">
        <v>769</v>
      </c>
      <c r="L226" s="2" t="n">
        <v>0</v>
      </c>
      <c r="M226" s="2" t="n">
        <v>286</v>
      </c>
      <c r="N226" s="2" t="n">
        <v>251</v>
      </c>
      <c r="O226" s="2" t="n">
        <v>799</v>
      </c>
      <c r="Q226" s="2" t="n">
        <f aca="false">F226+G226+H226</f>
        <v>1504</v>
      </c>
    </row>
    <row r="227" customFormat="false" ht="12.8" hidden="false" customHeight="false" outlineLevel="0" collapsed="false">
      <c r="A227" s="2" t="s">
        <v>241</v>
      </c>
      <c r="B227" s="2" t="s">
        <v>211</v>
      </c>
      <c r="C227" s="2" t="s">
        <v>215</v>
      </c>
      <c r="D227" s="2" t="n">
        <v>1003</v>
      </c>
      <c r="E227" s="2" t="n">
        <v>0</v>
      </c>
      <c r="F227" s="2" t="n">
        <v>808</v>
      </c>
      <c r="G227" s="2" t="n">
        <v>302</v>
      </c>
      <c r="H227" s="2" t="n">
        <v>372</v>
      </c>
      <c r="I227" s="2" t="n">
        <v>475</v>
      </c>
      <c r="J227" s="2" t="n">
        <v>372</v>
      </c>
      <c r="K227" s="2" t="n">
        <v>724</v>
      </c>
      <c r="L227" s="2" t="n">
        <v>0</v>
      </c>
      <c r="M227" s="2" t="n">
        <v>394</v>
      </c>
      <c r="N227" s="2" t="n">
        <v>263</v>
      </c>
      <c r="O227" s="2" t="n">
        <v>787</v>
      </c>
      <c r="Q227" s="2" t="n">
        <f aca="false">F227+G227+H227</f>
        <v>1482</v>
      </c>
    </row>
    <row r="228" customFormat="false" ht="12.8" hidden="false" customHeight="false" outlineLevel="0" collapsed="false">
      <c r="A228" s="2" t="s">
        <v>241</v>
      </c>
      <c r="B228" s="2" t="s">
        <v>211</v>
      </c>
      <c r="C228" s="2" t="s">
        <v>216</v>
      </c>
      <c r="D228" s="2" t="n">
        <v>955</v>
      </c>
      <c r="E228" s="2" t="n">
        <v>0</v>
      </c>
      <c r="F228" s="2" t="n">
        <v>829</v>
      </c>
      <c r="G228" s="2" t="n">
        <v>266</v>
      </c>
      <c r="H228" s="2" t="n">
        <v>335</v>
      </c>
      <c r="I228" s="2" t="n">
        <v>495</v>
      </c>
      <c r="J228" s="2" t="n">
        <v>371</v>
      </c>
      <c r="K228" s="2" t="n">
        <v>642</v>
      </c>
      <c r="L228" s="2" t="n">
        <v>0</v>
      </c>
      <c r="M228" s="2" t="n">
        <v>354</v>
      </c>
      <c r="N228" s="2" t="n">
        <v>237</v>
      </c>
      <c r="O228" s="2" t="n">
        <v>703</v>
      </c>
      <c r="Q228" s="2" t="n">
        <f aca="false">F228+G228+H228</f>
        <v>1430</v>
      </c>
    </row>
    <row r="229" customFormat="false" ht="12.8" hidden="false" customHeight="false" outlineLevel="0" collapsed="false">
      <c r="A229" s="2" t="s">
        <v>241</v>
      </c>
      <c r="B229" s="2" t="s">
        <v>211</v>
      </c>
      <c r="C229" s="2" t="s">
        <v>217</v>
      </c>
      <c r="D229" s="2" t="n">
        <v>981</v>
      </c>
      <c r="E229" s="2" t="n">
        <v>0</v>
      </c>
      <c r="F229" s="2" t="n">
        <v>693</v>
      </c>
      <c r="G229" s="2" t="n">
        <v>288</v>
      </c>
      <c r="H229" s="2" t="n">
        <v>373</v>
      </c>
      <c r="I229" s="2" t="n">
        <v>452</v>
      </c>
      <c r="J229" s="2" t="n">
        <v>339</v>
      </c>
      <c r="K229" s="2" t="n">
        <v>950</v>
      </c>
      <c r="L229" s="2" t="n">
        <v>0</v>
      </c>
      <c r="M229" s="2" t="n">
        <v>257</v>
      </c>
      <c r="N229" s="2" t="n">
        <v>311</v>
      </c>
      <c r="O229" s="2" t="n">
        <v>921</v>
      </c>
      <c r="Q229" s="2" t="n">
        <f aca="false">F229+G229+H229</f>
        <v>1354</v>
      </c>
    </row>
    <row r="230" customFormat="false" ht="12.8" hidden="false" customHeight="false" outlineLevel="0" collapsed="false">
      <c r="A230" s="2" t="s">
        <v>241</v>
      </c>
      <c r="B230" s="2" t="s">
        <v>211</v>
      </c>
      <c r="C230" s="2" t="s">
        <v>218</v>
      </c>
      <c r="D230" s="2" t="n">
        <v>829</v>
      </c>
      <c r="E230" s="2" t="n">
        <v>0</v>
      </c>
      <c r="F230" s="2" t="n">
        <v>581</v>
      </c>
      <c r="G230" s="2" t="n">
        <v>237</v>
      </c>
      <c r="H230" s="2" t="n">
        <v>284</v>
      </c>
      <c r="I230" s="2" t="n">
        <v>446</v>
      </c>
      <c r="J230" s="2" t="n">
        <v>179</v>
      </c>
      <c r="K230" s="2" t="n">
        <v>738</v>
      </c>
      <c r="L230" s="2" t="n">
        <v>0</v>
      </c>
      <c r="M230" s="2" t="n">
        <v>237</v>
      </c>
      <c r="N230" s="2" t="n">
        <v>233</v>
      </c>
      <c r="O230" s="2" t="n">
        <v>680</v>
      </c>
      <c r="Q230" s="2" t="n">
        <f aca="false">F230+G230+H230</f>
        <v>1102</v>
      </c>
    </row>
    <row r="231" customFormat="false" ht="12.8" hidden="false" customHeight="false" outlineLevel="0" collapsed="false">
      <c r="A231" s="2" t="s">
        <v>241</v>
      </c>
      <c r="B231" s="2" t="s">
        <v>211</v>
      </c>
      <c r="C231" s="2" t="s">
        <v>219</v>
      </c>
      <c r="D231" s="2" t="n">
        <v>895</v>
      </c>
      <c r="E231" s="2" t="n">
        <v>0</v>
      </c>
      <c r="F231" s="2" t="n">
        <v>633</v>
      </c>
      <c r="G231" s="2" t="n">
        <v>293</v>
      </c>
      <c r="H231" s="2" t="n">
        <v>309</v>
      </c>
      <c r="I231" s="2" t="n">
        <v>383</v>
      </c>
      <c r="J231" s="2" t="n">
        <v>329</v>
      </c>
      <c r="K231" s="2" t="n">
        <v>772</v>
      </c>
      <c r="L231" s="2" t="n">
        <v>0</v>
      </c>
      <c r="M231" s="2" t="n">
        <v>248</v>
      </c>
      <c r="N231" s="2" t="n">
        <v>228</v>
      </c>
      <c r="O231" s="2" t="n">
        <v>785</v>
      </c>
      <c r="Q231" s="2" t="n">
        <f aca="false">F231+G231+H231</f>
        <v>1235</v>
      </c>
    </row>
    <row r="232" customFormat="false" ht="12.8" hidden="false" customHeight="false" outlineLevel="0" collapsed="false">
      <c r="A232" s="2" t="s">
        <v>241</v>
      </c>
      <c r="B232" s="2" t="s">
        <v>211</v>
      </c>
      <c r="C232" s="2" t="s">
        <v>220</v>
      </c>
      <c r="D232" s="2" t="n">
        <v>942</v>
      </c>
      <c r="E232" s="2" t="n">
        <v>0</v>
      </c>
      <c r="F232" s="2" t="n">
        <v>633</v>
      </c>
      <c r="G232" s="2" t="n">
        <v>327</v>
      </c>
      <c r="H232" s="2" t="n">
        <v>314</v>
      </c>
      <c r="I232" s="2" t="n">
        <v>351</v>
      </c>
      <c r="J232" s="2" t="n">
        <v>354</v>
      </c>
      <c r="K232" s="2" t="n">
        <v>780</v>
      </c>
      <c r="L232" s="2" t="n">
        <v>0</v>
      </c>
      <c r="M232" s="2" t="n">
        <v>307</v>
      </c>
      <c r="N232" s="2" t="n">
        <v>209</v>
      </c>
      <c r="O232" s="2" t="n">
        <v>882</v>
      </c>
      <c r="Q232" s="2" t="n">
        <f aca="false">F232+G232+H232</f>
        <v>1274</v>
      </c>
    </row>
    <row r="233" customFormat="false" ht="12.8" hidden="false" customHeight="false" outlineLevel="0" collapsed="false">
      <c r="A233" s="2" t="s">
        <v>241</v>
      </c>
      <c r="B233" s="2" t="s">
        <v>211</v>
      </c>
      <c r="C233" s="2" t="s">
        <v>221</v>
      </c>
      <c r="D233" s="2" t="n">
        <v>861</v>
      </c>
      <c r="E233" s="2" t="n">
        <v>0</v>
      </c>
      <c r="F233" s="2" t="n">
        <v>707</v>
      </c>
      <c r="G233" s="2" t="n">
        <v>236</v>
      </c>
      <c r="H233" s="2" t="n">
        <v>294</v>
      </c>
      <c r="I233" s="2" t="n">
        <v>373</v>
      </c>
      <c r="J233" s="2" t="n">
        <v>384</v>
      </c>
      <c r="K233" s="2" t="n">
        <v>747</v>
      </c>
      <c r="L233" s="2" t="n">
        <v>0</v>
      </c>
      <c r="M233" s="2" t="n">
        <v>174</v>
      </c>
      <c r="N233" s="2" t="n">
        <v>255</v>
      </c>
      <c r="O233" s="2" t="n">
        <v>637</v>
      </c>
      <c r="Q233" s="2" t="n">
        <f aca="false">F233+G233+H233</f>
        <v>1237</v>
      </c>
    </row>
    <row r="234" customFormat="false" ht="12.8" hidden="false" customHeight="false" outlineLevel="0" collapsed="false">
      <c r="A234" s="2" t="s">
        <v>241</v>
      </c>
      <c r="B234" s="2" t="s">
        <v>211</v>
      </c>
      <c r="C234" s="2" t="s">
        <v>222</v>
      </c>
      <c r="D234" s="2" t="n">
        <v>820</v>
      </c>
      <c r="E234" s="2" t="n">
        <v>0</v>
      </c>
      <c r="F234" s="2" t="n">
        <v>618</v>
      </c>
      <c r="G234" s="2" t="n">
        <v>234</v>
      </c>
      <c r="H234" s="2" t="n">
        <v>265</v>
      </c>
      <c r="I234" s="2" t="n">
        <v>301</v>
      </c>
      <c r="J234" s="2" t="n">
        <v>351</v>
      </c>
      <c r="K234" s="2" t="n">
        <v>645</v>
      </c>
      <c r="L234" s="2" t="n">
        <v>0</v>
      </c>
      <c r="M234" s="2" t="n">
        <v>262</v>
      </c>
      <c r="N234" s="2" t="n">
        <v>190</v>
      </c>
      <c r="O234" s="2" t="n">
        <v>667</v>
      </c>
      <c r="Q234" s="2" t="n">
        <f aca="false">F234+G234+H234</f>
        <v>1117</v>
      </c>
    </row>
    <row r="235" customFormat="false" ht="12.8" hidden="false" customHeight="false" outlineLevel="0" collapsed="false">
      <c r="A235" s="2" t="s">
        <v>241</v>
      </c>
      <c r="B235" s="2" t="s">
        <v>211</v>
      </c>
      <c r="C235" s="2" t="s">
        <v>223</v>
      </c>
      <c r="D235" s="2" t="n">
        <v>833</v>
      </c>
      <c r="E235" s="2" t="n">
        <v>0</v>
      </c>
      <c r="F235" s="2" t="n">
        <v>730</v>
      </c>
      <c r="G235" s="2" t="n">
        <v>179</v>
      </c>
      <c r="H235" s="2" t="n">
        <v>286</v>
      </c>
      <c r="I235" s="2" t="n">
        <v>407</v>
      </c>
      <c r="J235" s="2" t="n">
        <v>312</v>
      </c>
      <c r="K235" s="2" t="n">
        <v>625</v>
      </c>
      <c r="L235" s="2" t="n">
        <v>0</v>
      </c>
      <c r="M235" s="2" t="n">
        <v>282</v>
      </c>
      <c r="N235" s="2" t="n">
        <v>193</v>
      </c>
      <c r="O235" s="2" t="n">
        <v>633</v>
      </c>
      <c r="Q235" s="2" t="n">
        <f aca="false">F235+G235+H235</f>
        <v>1195</v>
      </c>
    </row>
    <row r="236" customFormat="false" ht="12.8" hidden="false" customHeight="false" outlineLevel="0" collapsed="false">
      <c r="A236" s="2" t="s">
        <v>241</v>
      </c>
      <c r="B236" s="2" t="s">
        <v>211</v>
      </c>
      <c r="C236" s="2" t="s">
        <v>224</v>
      </c>
      <c r="D236" s="2" t="n">
        <v>810</v>
      </c>
      <c r="E236" s="2" t="n">
        <v>0</v>
      </c>
      <c r="F236" s="2" t="n">
        <v>759</v>
      </c>
      <c r="G236" s="2" t="n">
        <v>174</v>
      </c>
      <c r="H236" s="2" t="n">
        <v>226</v>
      </c>
      <c r="I236" s="2" t="n">
        <v>405</v>
      </c>
      <c r="J236" s="2" t="n">
        <v>356</v>
      </c>
      <c r="K236" s="2" t="n">
        <v>577</v>
      </c>
      <c r="L236" s="2" t="n">
        <v>0</v>
      </c>
      <c r="M236" s="2" t="n">
        <v>192</v>
      </c>
      <c r="N236" s="2" t="n">
        <v>186</v>
      </c>
      <c r="O236" s="2" t="n">
        <v>501</v>
      </c>
      <c r="Q236" s="2" t="n">
        <f aca="false">F236+G236+H236</f>
        <v>1159</v>
      </c>
    </row>
    <row r="237" customFormat="false" ht="12.8" hidden="false" customHeight="false" outlineLevel="0" collapsed="false">
      <c r="A237" s="2" t="s">
        <v>242</v>
      </c>
      <c r="B237" s="2" t="s">
        <v>211</v>
      </c>
      <c r="C237" s="2" t="s">
        <v>212</v>
      </c>
      <c r="D237" s="2" t="n">
        <v>0</v>
      </c>
      <c r="E237" s="2" t="n">
        <v>0</v>
      </c>
      <c r="F237" s="2" t="n">
        <v>0</v>
      </c>
      <c r="G237" s="2" t="n">
        <v>0</v>
      </c>
      <c r="H237" s="2" t="n">
        <v>0</v>
      </c>
      <c r="I237" s="2" t="n">
        <v>0</v>
      </c>
      <c r="J237" s="2" t="n">
        <v>0</v>
      </c>
      <c r="K237" s="2" t="n">
        <v>0</v>
      </c>
      <c r="L237" s="2" t="n">
        <v>0</v>
      </c>
      <c r="M237" s="2" t="n">
        <v>0</v>
      </c>
      <c r="N237" s="2" t="n">
        <v>0</v>
      </c>
      <c r="O237" s="2" t="n">
        <v>0</v>
      </c>
      <c r="Q237" s="2" t="n">
        <f aca="false">F237+G237+H237</f>
        <v>0</v>
      </c>
    </row>
    <row r="238" customFormat="false" ht="12.8" hidden="false" customHeight="false" outlineLevel="0" collapsed="false">
      <c r="A238" s="2" t="s">
        <v>242</v>
      </c>
      <c r="B238" s="2" t="s">
        <v>211</v>
      </c>
      <c r="C238" s="2" t="s">
        <v>213</v>
      </c>
      <c r="D238" s="2" t="n">
        <v>812</v>
      </c>
      <c r="E238" s="2" t="n">
        <v>0</v>
      </c>
      <c r="F238" s="2" t="n">
        <v>0</v>
      </c>
      <c r="G238" s="2" t="n">
        <v>404</v>
      </c>
      <c r="H238" s="2" t="n">
        <v>525</v>
      </c>
      <c r="I238" s="2" t="n">
        <v>154</v>
      </c>
      <c r="J238" s="2" t="n">
        <v>120</v>
      </c>
      <c r="K238" s="2" t="n">
        <v>954</v>
      </c>
      <c r="L238" s="2" t="n">
        <v>45</v>
      </c>
      <c r="M238" s="2" t="n">
        <v>34</v>
      </c>
      <c r="N238" s="2" t="n">
        <v>170</v>
      </c>
      <c r="O238" s="2" t="n">
        <v>263</v>
      </c>
      <c r="Q238" s="2" t="n">
        <f aca="false">F238+G238+H238</f>
        <v>929</v>
      </c>
    </row>
    <row r="239" customFormat="false" ht="12.8" hidden="false" customHeight="false" outlineLevel="0" collapsed="false">
      <c r="A239" s="2" t="s">
        <v>242</v>
      </c>
      <c r="B239" s="2" t="s">
        <v>211</v>
      </c>
      <c r="C239" s="2" t="s">
        <v>214</v>
      </c>
      <c r="D239" s="2" t="n">
        <v>1266</v>
      </c>
      <c r="E239" s="2" t="n">
        <v>0</v>
      </c>
      <c r="F239" s="2" t="n">
        <v>0</v>
      </c>
      <c r="G239" s="2" t="n">
        <v>543</v>
      </c>
      <c r="H239" s="2" t="n">
        <v>1121</v>
      </c>
      <c r="I239" s="2" t="n">
        <v>428</v>
      </c>
      <c r="J239" s="2" t="n">
        <v>254</v>
      </c>
      <c r="K239" s="2" t="n">
        <v>1651</v>
      </c>
      <c r="L239" s="2" t="n">
        <v>87</v>
      </c>
      <c r="M239" s="2" t="n">
        <v>73</v>
      </c>
      <c r="N239" s="2" t="n">
        <v>422</v>
      </c>
      <c r="O239" s="2" t="n">
        <v>670</v>
      </c>
      <c r="Q239" s="2" t="n">
        <f aca="false">F239+G239+H239</f>
        <v>1664</v>
      </c>
    </row>
    <row r="240" customFormat="false" ht="12.8" hidden="false" customHeight="false" outlineLevel="0" collapsed="false">
      <c r="A240" s="2" t="s">
        <v>242</v>
      </c>
      <c r="B240" s="2" t="s">
        <v>211</v>
      </c>
      <c r="C240" s="2" t="s">
        <v>215</v>
      </c>
      <c r="D240" s="2" t="n">
        <v>1275</v>
      </c>
      <c r="E240" s="2" t="n">
        <v>0</v>
      </c>
      <c r="F240" s="2" t="n">
        <v>0</v>
      </c>
      <c r="G240" s="2" t="n">
        <v>581</v>
      </c>
      <c r="H240" s="2" t="n">
        <v>1088</v>
      </c>
      <c r="I240" s="2" t="n">
        <v>605</v>
      </c>
      <c r="J240" s="2" t="n">
        <v>191</v>
      </c>
      <c r="K240" s="2" t="n">
        <v>1582</v>
      </c>
      <c r="L240" s="2" t="n">
        <v>81</v>
      </c>
      <c r="M240" s="2" t="n">
        <v>59</v>
      </c>
      <c r="N240" s="2" t="n">
        <v>372</v>
      </c>
      <c r="O240" s="2" t="n">
        <v>788</v>
      </c>
      <c r="Q240" s="2" t="n">
        <f aca="false">F240+G240+H240</f>
        <v>1669</v>
      </c>
    </row>
    <row r="241" customFormat="false" ht="12.8" hidden="false" customHeight="false" outlineLevel="0" collapsed="false">
      <c r="A241" s="2" t="s">
        <v>242</v>
      </c>
      <c r="B241" s="2" t="s">
        <v>211</v>
      </c>
      <c r="C241" s="2" t="s">
        <v>216</v>
      </c>
      <c r="D241" s="2" t="n">
        <v>1388</v>
      </c>
      <c r="E241" s="2" t="n">
        <v>0</v>
      </c>
      <c r="F241" s="2" t="n">
        <v>0</v>
      </c>
      <c r="G241" s="2" t="n">
        <v>552</v>
      </c>
      <c r="H241" s="2" t="n">
        <v>1177</v>
      </c>
      <c r="I241" s="2" t="n">
        <v>433</v>
      </c>
      <c r="J241" s="2" t="n">
        <v>180</v>
      </c>
      <c r="K241" s="2" t="n">
        <v>1651</v>
      </c>
      <c r="L241" s="2" t="n">
        <v>115</v>
      </c>
      <c r="M241" s="2" t="n">
        <v>70</v>
      </c>
      <c r="N241" s="2" t="n">
        <v>316</v>
      </c>
      <c r="O241" s="2" t="n">
        <v>861</v>
      </c>
      <c r="Q241" s="2" t="n">
        <f aca="false">F241+G241+H241</f>
        <v>1729</v>
      </c>
    </row>
    <row r="242" customFormat="false" ht="12.8" hidden="false" customHeight="false" outlineLevel="0" collapsed="false">
      <c r="A242" s="2" t="s">
        <v>242</v>
      </c>
      <c r="B242" s="2" t="s">
        <v>211</v>
      </c>
      <c r="C242" s="2" t="s">
        <v>217</v>
      </c>
      <c r="D242" s="2" t="n">
        <v>0</v>
      </c>
      <c r="E242" s="2" t="n">
        <v>0</v>
      </c>
      <c r="F242" s="2" t="n">
        <v>0</v>
      </c>
      <c r="G242" s="2" t="n">
        <v>0</v>
      </c>
      <c r="H242" s="2" t="n">
        <v>0</v>
      </c>
      <c r="I242" s="2" t="n">
        <v>0</v>
      </c>
      <c r="J242" s="2" t="n">
        <v>0</v>
      </c>
      <c r="K242" s="2" t="n">
        <v>0</v>
      </c>
      <c r="L242" s="2" t="n">
        <v>0</v>
      </c>
      <c r="M242" s="2" t="n">
        <v>0</v>
      </c>
      <c r="N242" s="2" t="n">
        <v>0</v>
      </c>
      <c r="O242" s="2" t="n">
        <v>0</v>
      </c>
      <c r="Q242" s="2" t="n">
        <f aca="false">F242+G242+H242</f>
        <v>0</v>
      </c>
    </row>
    <row r="243" customFormat="false" ht="12.8" hidden="false" customHeight="false" outlineLevel="0" collapsed="false">
      <c r="A243" s="2" t="s">
        <v>242</v>
      </c>
      <c r="B243" s="2" t="s">
        <v>211</v>
      </c>
      <c r="C243" s="2" t="s">
        <v>218</v>
      </c>
      <c r="D243" s="2" t="n">
        <v>0</v>
      </c>
      <c r="E243" s="2" t="n">
        <v>0</v>
      </c>
      <c r="F243" s="2" t="n">
        <v>0</v>
      </c>
      <c r="G243" s="2" t="n">
        <v>0</v>
      </c>
      <c r="H243" s="2" t="n">
        <v>0</v>
      </c>
      <c r="I243" s="2" t="n">
        <v>0</v>
      </c>
      <c r="J243" s="2" t="n">
        <v>0</v>
      </c>
      <c r="K243" s="2" t="n">
        <v>0</v>
      </c>
      <c r="L243" s="2" t="n">
        <v>0</v>
      </c>
      <c r="M243" s="2" t="n">
        <v>0</v>
      </c>
      <c r="N243" s="2" t="n">
        <v>0</v>
      </c>
      <c r="O243" s="2" t="n">
        <v>0</v>
      </c>
      <c r="Q243" s="2" t="n">
        <f aca="false">F243+G243+H243</f>
        <v>0</v>
      </c>
    </row>
    <row r="244" customFormat="false" ht="12.8" hidden="false" customHeight="false" outlineLevel="0" collapsed="false">
      <c r="A244" s="2" t="s">
        <v>242</v>
      </c>
      <c r="B244" s="2" t="s">
        <v>211</v>
      </c>
      <c r="C244" s="2" t="s">
        <v>219</v>
      </c>
      <c r="D244" s="2" t="n">
        <v>0</v>
      </c>
      <c r="E244" s="2" t="n">
        <v>0</v>
      </c>
      <c r="F244" s="2" t="n">
        <v>0</v>
      </c>
      <c r="G244" s="2" t="n">
        <v>0</v>
      </c>
      <c r="H244" s="2" t="n">
        <v>0</v>
      </c>
      <c r="I244" s="2" t="n">
        <v>0</v>
      </c>
      <c r="J244" s="2" t="n">
        <v>0</v>
      </c>
      <c r="K244" s="2" t="n">
        <v>0</v>
      </c>
      <c r="L244" s="2" t="n">
        <v>0</v>
      </c>
      <c r="M244" s="2" t="n">
        <v>0</v>
      </c>
      <c r="N244" s="2" t="n">
        <v>0</v>
      </c>
      <c r="O244" s="2" t="n">
        <v>0</v>
      </c>
      <c r="Q244" s="2" t="n">
        <f aca="false">F244+G244+H244</f>
        <v>0</v>
      </c>
    </row>
    <row r="245" customFormat="false" ht="12.8" hidden="false" customHeight="false" outlineLevel="0" collapsed="false">
      <c r="A245" s="2" t="s">
        <v>242</v>
      </c>
      <c r="B245" s="2" t="s">
        <v>211</v>
      </c>
      <c r="C245" s="2" t="s">
        <v>220</v>
      </c>
      <c r="D245" s="2" t="n">
        <v>0</v>
      </c>
      <c r="E245" s="2" t="n">
        <v>0</v>
      </c>
      <c r="F245" s="2" t="n">
        <v>0</v>
      </c>
      <c r="G245" s="2" t="n">
        <v>0</v>
      </c>
      <c r="H245" s="2" t="n">
        <v>0</v>
      </c>
      <c r="I245" s="2" t="n">
        <v>0</v>
      </c>
      <c r="J245" s="2" t="n">
        <v>0</v>
      </c>
      <c r="K245" s="2" t="n">
        <v>0</v>
      </c>
      <c r="L245" s="2" t="n">
        <v>0</v>
      </c>
      <c r="M245" s="2" t="n">
        <v>0</v>
      </c>
      <c r="N245" s="2" t="n">
        <v>0</v>
      </c>
      <c r="O245" s="2" t="n">
        <v>0</v>
      </c>
      <c r="Q245" s="2" t="n">
        <f aca="false">F245+G245+H245</f>
        <v>0</v>
      </c>
    </row>
    <row r="246" customFormat="false" ht="12.8" hidden="false" customHeight="false" outlineLevel="0" collapsed="false">
      <c r="A246" s="2" t="s">
        <v>242</v>
      </c>
      <c r="B246" s="2" t="s">
        <v>211</v>
      </c>
      <c r="C246" s="2" t="s">
        <v>221</v>
      </c>
      <c r="D246" s="2" t="n">
        <v>0</v>
      </c>
      <c r="E246" s="2" t="n">
        <v>0</v>
      </c>
      <c r="F246" s="2" t="n">
        <v>0</v>
      </c>
      <c r="G246" s="2" t="n">
        <v>0</v>
      </c>
      <c r="H246" s="2" t="n">
        <v>0</v>
      </c>
      <c r="I246" s="2" t="n">
        <v>0</v>
      </c>
      <c r="J246" s="2" t="n">
        <v>0</v>
      </c>
      <c r="K246" s="2" t="n">
        <v>0</v>
      </c>
      <c r="L246" s="2" t="n">
        <v>0</v>
      </c>
      <c r="M246" s="2" t="n">
        <v>0</v>
      </c>
      <c r="N246" s="2" t="n">
        <v>0</v>
      </c>
      <c r="O246" s="2" t="n">
        <v>0</v>
      </c>
      <c r="Q246" s="2" t="n">
        <f aca="false">F246+G246+H246</f>
        <v>0</v>
      </c>
    </row>
    <row r="247" customFormat="false" ht="12.8" hidden="false" customHeight="false" outlineLevel="0" collapsed="false">
      <c r="A247" s="2" t="s">
        <v>242</v>
      </c>
      <c r="B247" s="2" t="s">
        <v>211</v>
      </c>
      <c r="C247" s="2" t="s">
        <v>222</v>
      </c>
      <c r="D247" s="2" t="n">
        <v>0</v>
      </c>
      <c r="E247" s="2" t="n">
        <v>0</v>
      </c>
      <c r="F247" s="2" t="n">
        <v>0</v>
      </c>
      <c r="G247" s="2" t="n">
        <v>0</v>
      </c>
      <c r="H247" s="2" t="n">
        <v>0</v>
      </c>
      <c r="I247" s="2" t="n">
        <v>0</v>
      </c>
      <c r="J247" s="2" t="n">
        <v>0</v>
      </c>
      <c r="K247" s="2" t="n">
        <v>0</v>
      </c>
      <c r="L247" s="2" t="n">
        <v>0</v>
      </c>
      <c r="M247" s="2" t="n">
        <v>0</v>
      </c>
      <c r="N247" s="2" t="n">
        <v>0</v>
      </c>
      <c r="O247" s="2" t="n">
        <v>0</v>
      </c>
      <c r="Q247" s="2" t="n">
        <f aca="false">F247+G247+H247</f>
        <v>0</v>
      </c>
    </row>
    <row r="248" customFormat="false" ht="12.8" hidden="false" customHeight="false" outlineLevel="0" collapsed="false">
      <c r="A248" s="2" t="s">
        <v>242</v>
      </c>
      <c r="B248" s="2" t="s">
        <v>211</v>
      </c>
      <c r="C248" s="2" t="s">
        <v>223</v>
      </c>
      <c r="D248" s="2" t="n">
        <v>0</v>
      </c>
      <c r="E248" s="2" t="n">
        <v>0</v>
      </c>
      <c r="F248" s="2" t="n">
        <v>0</v>
      </c>
      <c r="G248" s="2" t="n">
        <v>0</v>
      </c>
      <c r="H248" s="2" t="n">
        <v>0</v>
      </c>
      <c r="I248" s="2" t="n">
        <v>0</v>
      </c>
      <c r="J248" s="2" t="n">
        <v>0</v>
      </c>
      <c r="K248" s="2" t="n">
        <v>0</v>
      </c>
      <c r="L248" s="2" t="n">
        <v>0</v>
      </c>
      <c r="M248" s="2" t="n">
        <v>0</v>
      </c>
      <c r="N248" s="2" t="n">
        <v>0</v>
      </c>
      <c r="O248" s="2" t="n">
        <v>0</v>
      </c>
      <c r="Q248" s="2" t="n">
        <f aca="false">F248+G248+H248</f>
        <v>0</v>
      </c>
    </row>
    <row r="249" customFormat="false" ht="12.8" hidden="false" customHeight="false" outlineLevel="0" collapsed="false">
      <c r="A249" s="2" t="s">
        <v>242</v>
      </c>
      <c r="B249" s="2" t="s">
        <v>211</v>
      </c>
      <c r="C249" s="2" t="s">
        <v>224</v>
      </c>
      <c r="D249" s="2" t="n">
        <v>213</v>
      </c>
      <c r="E249" s="2" t="n">
        <v>0</v>
      </c>
      <c r="F249" s="2" t="n">
        <v>0</v>
      </c>
      <c r="G249" s="2" t="n">
        <v>85</v>
      </c>
      <c r="H249" s="2" t="n">
        <v>159</v>
      </c>
      <c r="I249" s="2" t="n">
        <v>35</v>
      </c>
      <c r="J249" s="2" t="n">
        <v>49</v>
      </c>
      <c r="K249" s="2" t="n">
        <v>294</v>
      </c>
      <c r="L249" s="2" t="n">
        <v>13</v>
      </c>
      <c r="M249" s="2" t="n">
        <v>11</v>
      </c>
      <c r="N249" s="2" t="n">
        <v>39</v>
      </c>
      <c r="O249" s="2" t="n">
        <v>78</v>
      </c>
      <c r="Q249" s="2" t="n">
        <f aca="false">F249+G249+H249</f>
        <v>244</v>
      </c>
    </row>
    <row r="250" customFormat="false" ht="12.8" hidden="false" customHeight="false" outlineLevel="0" collapsed="false">
      <c r="A250" s="2" t="s">
        <v>243</v>
      </c>
      <c r="B250" s="2" t="s">
        <v>211</v>
      </c>
      <c r="C250" s="2" t="s">
        <v>212</v>
      </c>
      <c r="D250" s="2" t="n">
        <v>1894</v>
      </c>
      <c r="E250" s="2" t="n">
        <v>0</v>
      </c>
      <c r="F250" s="2" t="n">
        <v>497</v>
      </c>
      <c r="G250" s="2" t="n">
        <v>535</v>
      </c>
      <c r="H250" s="2" t="n">
        <v>1638</v>
      </c>
      <c r="I250" s="2" t="n">
        <v>1817</v>
      </c>
      <c r="J250" s="2" t="n">
        <v>52</v>
      </c>
      <c r="K250" s="2" t="n">
        <v>846</v>
      </c>
      <c r="L250" s="2" t="n">
        <v>103</v>
      </c>
      <c r="M250" s="2" t="n">
        <v>306</v>
      </c>
      <c r="N250" s="2" t="n">
        <v>851</v>
      </c>
      <c r="O250" s="2" t="n">
        <v>978</v>
      </c>
      <c r="Q250" s="2" t="n">
        <f aca="false">F250+G250+H250</f>
        <v>2670</v>
      </c>
    </row>
    <row r="251" customFormat="false" ht="12.8" hidden="false" customHeight="false" outlineLevel="0" collapsed="false">
      <c r="A251" s="2" t="s">
        <v>243</v>
      </c>
      <c r="B251" s="2" t="s">
        <v>211</v>
      </c>
      <c r="C251" s="2" t="s">
        <v>213</v>
      </c>
      <c r="D251" s="2" t="n">
        <v>1963</v>
      </c>
      <c r="E251" s="2" t="n">
        <v>0</v>
      </c>
      <c r="F251" s="2" t="n">
        <v>422</v>
      </c>
      <c r="G251" s="2" t="n">
        <v>705</v>
      </c>
      <c r="H251" s="2" t="n">
        <v>1807</v>
      </c>
      <c r="I251" s="2" t="n">
        <v>1606</v>
      </c>
      <c r="J251" s="2" t="n">
        <v>54</v>
      </c>
      <c r="K251" s="2" t="n">
        <v>1315</v>
      </c>
      <c r="L251" s="2" t="n">
        <v>106</v>
      </c>
      <c r="M251" s="2" t="n">
        <v>254</v>
      </c>
      <c r="N251" s="2" t="n">
        <v>703</v>
      </c>
      <c r="O251" s="2" t="n">
        <v>1405</v>
      </c>
      <c r="Q251" s="2" t="n">
        <f aca="false">F251+G251+H251</f>
        <v>2934</v>
      </c>
    </row>
    <row r="252" customFormat="false" ht="12.8" hidden="false" customHeight="false" outlineLevel="0" collapsed="false">
      <c r="A252" s="2" t="s">
        <v>243</v>
      </c>
      <c r="B252" s="2" t="s">
        <v>211</v>
      </c>
      <c r="C252" s="2" t="s">
        <v>214</v>
      </c>
      <c r="D252" s="2" t="n">
        <v>2146</v>
      </c>
      <c r="E252" s="2" t="n">
        <v>0</v>
      </c>
      <c r="F252" s="2" t="n">
        <v>633</v>
      </c>
      <c r="G252" s="2" t="n">
        <v>720</v>
      </c>
      <c r="H252" s="2" t="n">
        <v>2073</v>
      </c>
      <c r="I252" s="2" t="n">
        <v>1950</v>
      </c>
      <c r="J252" s="2" t="n">
        <v>32</v>
      </c>
      <c r="K252" s="2" t="n">
        <v>1428</v>
      </c>
      <c r="L252" s="2" t="n">
        <v>92</v>
      </c>
      <c r="M252" s="2" t="n">
        <v>335</v>
      </c>
      <c r="N252" s="2" t="n">
        <v>856</v>
      </c>
      <c r="O252" s="2" t="n">
        <v>1332</v>
      </c>
      <c r="Q252" s="2" t="n">
        <f aca="false">F252+G252+H252</f>
        <v>3426</v>
      </c>
    </row>
    <row r="253" customFormat="false" ht="12.8" hidden="false" customHeight="false" outlineLevel="0" collapsed="false">
      <c r="A253" s="2" t="s">
        <v>243</v>
      </c>
      <c r="B253" s="2" t="s">
        <v>211</v>
      </c>
      <c r="C253" s="2" t="s">
        <v>215</v>
      </c>
      <c r="D253" s="2" t="n">
        <v>2161</v>
      </c>
      <c r="E253" s="2" t="n">
        <v>0</v>
      </c>
      <c r="F253" s="2" t="n">
        <v>500</v>
      </c>
      <c r="G253" s="2" t="n">
        <v>772</v>
      </c>
      <c r="H253" s="2" t="n">
        <v>2063</v>
      </c>
      <c r="I253" s="2" t="n">
        <v>1989</v>
      </c>
      <c r="J253" s="2" t="n">
        <v>22</v>
      </c>
      <c r="K253" s="2" t="n">
        <v>1446</v>
      </c>
      <c r="L253" s="2" t="n">
        <v>96</v>
      </c>
      <c r="M253" s="2" t="n">
        <v>322</v>
      </c>
      <c r="N253" s="2" t="n">
        <v>847</v>
      </c>
      <c r="O253" s="2" t="n">
        <v>1445</v>
      </c>
      <c r="Q253" s="2" t="n">
        <f aca="false">F253+G253+H253</f>
        <v>3335</v>
      </c>
    </row>
    <row r="254" customFormat="false" ht="12.8" hidden="false" customHeight="false" outlineLevel="0" collapsed="false">
      <c r="A254" s="2" t="s">
        <v>243</v>
      </c>
      <c r="B254" s="2" t="s">
        <v>211</v>
      </c>
      <c r="C254" s="2" t="s">
        <v>216</v>
      </c>
      <c r="D254" s="2" t="n">
        <v>2115</v>
      </c>
      <c r="E254" s="2" t="n">
        <v>0</v>
      </c>
      <c r="F254" s="2" t="n">
        <v>557</v>
      </c>
      <c r="G254" s="2" t="n">
        <v>759</v>
      </c>
      <c r="H254" s="2" t="n">
        <v>2001</v>
      </c>
      <c r="I254" s="2" t="n">
        <v>1802</v>
      </c>
      <c r="J254" s="2" t="n">
        <v>47</v>
      </c>
      <c r="K254" s="2" t="n">
        <v>1417</v>
      </c>
      <c r="L254" s="2" t="n">
        <v>68</v>
      </c>
      <c r="M254" s="2" t="n">
        <v>350</v>
      </c>
      <c r="N254" s="2" t="n">
        <v>919</v>
      </c>
      <c r="O254" s="2" t="n">
        <v>1309</v>
      </c>
      <c r="Q254" s="2" t="n">
        <f aca="false">F254+G254+H254</f>
        <v>3317</v>
      </c>
    </row>
    <row r="255" customFormat="false" ht="12.8" hidden="false" customHeight="false" outlineLevel="0" collapsed="false">
      <c r="A255" s="2" t="s">
        <v>243</v>
      </c>
      <c r="B255" s="2" t="s">
        <v>211</v>
      </c>
      <c r="C255" s="2" t="s">
        <v>217</v>
      </c>
      <c r="D255" s="2" t="n">
        <v>1967</v>
      </c>
      <c r="E255" s="2" t="n">
        <v>0</v>
      </c>
      <c r="F255" s="2" t="n">
        <v>547</v>
      </c>
      <c r="G255" s="2" t="n">
        <v>547</v>
      </c>
      <c r="H255" s="2" t="n">
        <v>1717</v>
      </c>
      <c r="I255" s="2" t="n">
        <v>1899</v>
      </c>
      <c r="J255" s="2" t="n">
        <v>107</v>
      </c>
      <c r="K255" s="2" t="n">
        <v>753</v>
      </c>
      <c r="L255" s="2" t="n">
        <v>120</v>
      </c>
      <c r="M255" s="2" t="n">
        <v>304</v>
      </c>
      <c r="N255" s="2" t="n">
        <v>1059</v>
      </c>
      <c r="O255" s="2" t="n">
        <v>1156</v>
      </c>
      <c r="Q255" s="2" t="n">
        <f aca="false">F255+G255+H255</f>
        <v>2811</v>
      </c>
    </row>
    <row r="256" customFormat="false" ht="12.8" hidden="false" customHeight="false" outlineLevel="0" collapsed="false">
      <c r="A256" s="2" t="s">
        <v>243</v>
      </c>
      <c r="B256" s="2" t="s">
        <v>211</v>
      </c>
      <c r="C256" s="2" t="s">
        <v>218</v>
      </c>
      <c r="D256" s="2" t="n">
        <v>2064</v>
      </c>
      <c r="E256" s="2" t="n">
        <v>0</v>
      </c>
      <c r="F256" s="2" t="n">
        <v>474</v>
      </c>
      <c r="G256" s="2" t="n">
        <v>723</v>
      </c>
      <c r="H256" s="2" t="n">
        <v>1841</v>
      </c>
      <c r="I256" s="2" t="n">
        <v>1847</v>
      </c>
      <c r="J256" s="2" t="n">
        <v>47</v>
      </c>
      <c r="K256" s="2" t="n">
        <v>1084</v>
      </c>
      <c r="L256" s="2" t="n">
        <v>147</v>
      </c>
      <c r="M256" s="2" t="n">
        <v>329</v>
      </c>
      <c r="N256" s="2" t="n">
        <v>979</v>
      </c>
      <c r="O256" s="2" t="n">
        <v>1135</v>
      </c>
      <c r="Q256" s="2" t="n">
        <f aca="false">F256+G256+H256</f>
        <v>3038</v>
      </c>
    </row>
    <row r="257" customFormat="false" ht="12.8" hidden="false" customHeight="false" outlineLevel="0" collapsed="false">
      <c r="A257" s="2" t="s">
        <v>243</v>
      </c>
      <c r="B257" s="2" t="s">
        <v>211</v>
      </c>
      <c r="C257" s="2" t="s">
        <v>219</v>
      </c>
      <c r="D257" s="2" t="n">
        <v>2266</v>
      </c>
      <c r="E257" s="2" t="n">
        <v>0</v>
      </c>
      <c r="F257" s="2" t="n">
        <v>554</v>
      </c>
      <c r="G257" s="2" t="n">
        <v>889</v>
      </c>
      <c r="H257" s="2" t="n">
        <v>2129</v>
      </c>
      <c r="I257" s="2" t="n">
        <v>2104</v>
      </c>
      <c r="J257" s="2" t="n">
        <v>57</v>
      </c>
      <c r="K257" s="2" t="n">
        <v>1377</v>
      </c>
      <c r="L257" s="2" t="n">
        <v>222</v>
      </c>
      <c r="M257" s="2" t="n">
        <v>280</v>
      </c>
      <c r="N257" s="2" t="n">
        <v>1019</v>
      </c>
      <c r="O257" s="2" t="n">
        <v>1560</v>
      </c>
      <c r="Q257" s="2" t="n">
        <f aca="false">F257+G257+H257</f>
        <v>3572</v>
      </c>
    </row>
    <row r="258" customFormat="false" ht="12.8" hidden="false" customHeight="false" outlineLevel="0" collapsed="false">
      <c r="A258" s="2" t="s">
        <v>243</v>
      </c>
      <c r="B258" s="2" t="s">
        <v>211</v>
      </c>
      <c r="C258" s="2" t="s">
        <v>220</v>
      </c>
      <c r="D258" s="2" t="n">
        <v>2154</v>
      </c>
      <c r="E258" s="2" t="n">
        <v>0</v>
      </c>
      <c r="F258" s="2" t="n">
        <v>521</v>
      </c>
      <c r="G258" s="2" t="n">
        <v>812</v>
      </c>
      <c r="H258" s="2" t="n">
        <v>2030</v>
      </c>
      <c r="I258" s="2" t="n">
        <v>2042</v>
      </c>
      <c r="J258" s="2" t="n">
        <v>44</v>
      </c>
      <c r="K258" s="2" t="n">
        <v>1439</v>
      </c>
      <c r="L258" s="2" t="n">
        <v>110</v>
      </c>
      <c r="M258" s="2" t="n">
        <v>300</v>
      </c>
      <c r="N258" s="2" t="n">
        <v>870</v>
      </c>
      <c r="O258" s="2" t="n">
        <v>1546</v>
      </c>
      <c r="Q258" s="2" t="n">
        <f aca="false">F258+G258+H258</f>
        <v>3363</v>
      </c>
    </row>
    <row r="259" customFormat="false" ht="12.8" hidden="false" customHeight="false" outlineLevel="0" collapsed="false">
      <c r="A259" s="2" t="s">
        <v>243</v>
      </c>
      <c r="B259" s="2" t="s">
        <v>211</v>
      </c>
      <c r="C259" s="2" t="s">
        <v>221</v>
      </c>
      <c r="D259" s="2" t="n">
        <v>1988</v>
      </c>
      <c r="E259" s="2" t="n">
        <v>0</v>
      </c>
      <c r="F259" s="2" t="n">
        <v>581</v>
      </c>
      <c r="G259" s="2" t="n">
        <v>743</v>
      </c>
      <c r="H259" s="2" t="n">
        <v>1938</v>
      </c>
      <c r="I259" s="2" t="n">
        <v>1862</v>
      </c>
      <c r="J259" s="2" t="n">
        <v>12</v>
      </c>
      <c r="K259" s="2" t="n">
        <v>1455</v>
      </c>
      <c r="L259" s="2" t="n">
        <v>142</v>
      </c>
      <c r="M259" s="2" t="n">
        <v>275</v>
      </c>
      <c r="N259" s="2" t="n">
        <v>855</v>
      </c>
      <c r="O259" s="2" t="n">
        <v>1490</v>
      </c>
      <c r="Q259" s="2" t="n">
        <f aca="false">F259+G259+H259</f>
        <v>3262</v>
      </c>
    </row>
    <row r="260" customFormat="false" ht="12.8" hidden="false" customHeight="false" outlineLevel="0" collapsed="false">
      <c r="A260" s="2" t="s">
        <v>243</v>
      </c>
      <c r="B260" s="2" t="s">
        <v>211</v>
      </c>
      <c r="C260" s="2" t="s">
        <v>222</v>
      </c>
      <c r="D260" s="2" t="n">
        <v>2087</v>
      </c>
      <c r="E260" s="2" t="n">
        <v>0</v>
      </c>
      <c r="F260" s="2" t="n">
        <v>409</v>
      </c>
      <c r="G260" s="2" t="n">
        <v>834</v>
      </c>
      <c r="H260" s="2" t="n">
        <v>2021</v>
      </c>
      <c r="I260" s="2" t="n">
        <v>1893</v>
      </c>
      <c r="J260" s="2" t="n">
        <v>0</v>
      </c>
      <c r="K260" s="2" t="n">
        <v>1397</v>
      </c>
      <c r="L260" s="2" t="n">
        <v>171</v>
      </c>
      <c r="M260" s="2" t="n">
        <v>199</v>
      </c>
      <c r="N260" s="2" t="n">
        <v>833</v>
      </c>
      <c r="O260" s="2" t="n">
        <v>1498</v>
      </c>
      <c r="Q260" s="2" t="n">
        <f aca="false">F260+G260+H260</f>
        <v>3264</v>
      </c>
    </row>
    <row r="261" customFormat="false" ht="12.8" hidden="false" customHeight="false" outlineLevel="0" collapsed="false">
      <c r="A261" s="2" t="s">
        <v>243</v>
      </c>
      <c r="B261" s="2" t="s">
        <v>211</v>
      </c>
      <c r="C261" s="2" t="s">
        <v>223</v>
      </c>
      <c r="D261" s="2" t="n">
        <v>2082</v>
      </c>
      <c r="E261" s="2" t="n">
        <v>0</v>
      </c>
      <c r="F261" s="2" t="n">
        <v>443</v>
      </c>
      <c r="G261" s="2" t="n">
        <v>714</v>
      </c>
      <c r="H261" s="2" t="n">
        <v>1918</v>
      </c>
      <c r="I261" s="2" t="n">
        <v>1734</v>
      </c>
      <c r="J261" s="2" t="n">
        <v>37</v>
      </c>
      <c r="K261" s="2" t="n">
        <v>1345</v>
      </c>
      <c r="L261" s="2" t="n">
        <v>100</v>
      </c>
      <c r="M261" s="2" t="n">
        <v>252</v>
      </c>
      <c r="N261" s="2" t="n">
        <v>712</v>
      </c>
      <c r="O261" s="2" t="n">
        <v>1319</v>
      </c>
      <c r="Q261" s="2" t="n">
        <f aca="false">F261+G261+H261</f>
        <v>3075</v>
      </c>
    </row>
    <row r="262" customFormat="false" ht="12.8" hidden="false" customHeight="false" outlineLevel="0" collapsed="false">
      <c r="A262" s="2" t="s">
        <v>243</v>
      </c>
      <c r="B262" s="2" t="s">
        <v>211</v>
      </c>
      <c r="C262" s="2" t="s">
        <v>224</v>
      </c>
      <c r="D262" s="2" t="n">
        <v>2201</v>
      </c>
      <c r="E262" s="2" t="n">
        <v>0</v>
      </c>
      <c r="F262" s="2" t="n">
        <v>423</v>
      </c>
      <c r="G262" s="2" t="n">
        <v>797</v>
      </c>
      <c r="H262" s="2" t="n">
        <v>2268</v>
      </c>
      <c r="I262" s="2" t="n">
        <v>1917</v>
      </c>
      <c r="J262" s="2" t="n">
        <v>12</v>
      </c>
      <c r="K262" s="2" t="n">
        <v>1671</v>
      </c>
      <c r="L262" s="2" t="n">
        <v>152</v>
      </c>
      <c r="M262" s="2" t="n">
        <v>319</v>
      </c>
      <c r="N262" s="2" t="n">
        <v>783</v>
      </c>
      <c r="O262" s="2" t="n">
        <v>1649</v>
      </c>
      <c r="Q262" s="2" t="n">
        <f aca="false">F262+G262+H262</f>
        <v>3488</v>
      </c>
    </row>
    <row r="263" customFormat="false" ht="12.8" hidden="false" customHeight="false" outlineLevel="0" collapsed="false">
      <c r="A263" s="2" t="s">
        <v>244</v>
      </c>
      <c r="B263" s="2" t="s">
        <v>211</v>
      </c>
      <c r="C263" s="2" t="s">
        <v>212</v>
      </c>
      <c r="D263" s="2" t="n">
        <v>383</v>
      </c>
      <c r="E263" s="2" t="n">
        <v>0</v>
      </c>
      <c r="F263" s="2" t="n">
        <v>0</v>
      </c>
      <c r="G263" s="2" t="n">
        <v>169</v>
      </c>
      <c r="H263" s="2" t="n">
        <v>339</v>
      </c>
      <c r="I263" s="2" t="n">
        <v>352</v>
      </c>
      <c r="J263" s="2" t="n">
        <v>61</v>
      </c>
      <c r="K263" s="2" t="n">
        <v>16</v>
      </c>
      <c r="L263" s="2" t="n">
        <v>35</v>
      </c>
      <c r="M263" s="2" t="n">
        <v>67</v>
      </c>
      <c r="N263" s="2" t="n">
        <v>246</v>
      </c>
      <c r="O263" s="2" t="n">
        <v>292</v>
      </c>
      <c r="Q263" s="2" t="n">
        <f aca="false">F263+G263+H263</f>
        <v>508</v>
      </c>
    </row>
    <row r="264" customFormat="false" ht="12.8" hidden="false" customHeight="false" outlineLevel="0" collapsed="false">
      <c r="A264" s="2" t="s">
        <v>244</v>
      </c>
      <c r="B264" s="2" t="s">
        <v>211</v>
      </c>
      <c r="C264" s="2" t="s">
        <v>213</v>
      </c>
      <c r="D264" s="2" t="n">
        <v>347</v>
      </c>
      <c r="E264" s="2" t="n">
        <v>1</v>
      </c>
      <c r="F264" s="2" t="n">
        <v>0</v>
      </c>
      <c r="G264" s="2" t="n">
        <v>154</v>
      </c>
      <c r="H264" s="2" t="n">
        <v>277</v>
      </c>
      <c r="I264" s="2" t="n">
        <v>372</v>
      </c>
      <c r="J264" s="2" t="n">
        <v>47</v>
      </c>
      <c r="K264" s="2" t="n">
        <v>1</v>
      </c>
      <c r="L264" s="2" t="n">
        <v>5</v>
      </c>
      <c r="M264" s="2" t="n">
        <v>10</v>
      </c>
      <c r="N264" s="2" t="n">
        <v>213</v>
      </c>
      <c r="O264" s="2" t="n">
        <v>284</v>
      </c>
      <c r="Q264" s="2" t="n">
        <f aca="false">F264+G264+H264</f>
        <v>431</v>
      </c>
    </row>
    <row r="265" customFormat="false" ht="12.8" hidden="false" customHeight="false" outlineLevel="0" collapsed="false">
      <c r="A265" s="2" t="s">
        <v>244</v>
      </c>
      <c r="B265" s="2" t="s">
        <v>211</v>
      </c>
      <c r="C265" s="2" t="s">
        <v>214</v>
      </c>
      <c r="D265" s="2" t="n">
        <v>421</v>
      </c>
      <c r="E265" s="2" t="n">
        <v>1</v>
      </c>
      <c r="F265" s="2" t="n">
        <v>0</v>
      </c>
      <c r="G265" s="2" t="n">
        <v>168</v>
      </c>
      <c r="H265" s="2" t="n">
        <v>379</v>
      </c>
      <c r="I265" s="2" t="n">
        <v>457</v>
      </c>
      <c r="J265" s="2" t="n">
        <v>17</v>
      </c>
      <c r="K265" s="2" t="n">
        <v>1</v>
      </c>
      <c r="L265" s="2" t="n">
        <v>2</v>
      </c>
      <c r="M265" s="2" t="n">
        <v>70</v>
      </c>
      <c r="N265" s="2" t="n">
        <v>239</v>
      </c>
      <c r="O265" s="2" t="n">
        <v>317</v>
      </c>
      <c r="Q265" s="2" t="n">
        <f aca="false">F265+G265+H265</f>
        <v>547</v>
      </c>
    </row>
    <row r="266" customFormat="false" ht="12.8" hidden="false" customHeight="false" outlineLevel="0" collapsed="false">
      <c r="A266" s="2" t="s">
        <v>244</v>
      </c>
      <c r="B266" s="2" t="s">
        <v>211</v>
      </c>
      <c r="C266" s="2" t="s">
        <v>215</v>
      </c>
      <c r="D266" s="2" t="n">
        <v>231</v>
      </c>
      <c r="E266" s="2" t="n">
        <v>1</v>
      </c>
      <c r="F266" s="2" t="n">
        <v>0</v>
      </c>
      <c r="G266" s="2" t="n">
        <v>81</v>
      </c>
      <c r="H266" s="2" t="n">
        <v>198</v>
      </c>
      <c r="I266" s="2" t="n">
        <v>199</v>
      </c>
      <c r="J266" s="2" t="n">
        <v>32</v>
      </c>
      <c r="K266" s="2" t="n">
        <v>0</v>
      </c>
      <c r="L266" s="2" t="n">
        <v>2</v>
      </c>
      <c r="M266" s="2" t="n">
        <v>49</v>
      </c>
      <c r="N266" s="2" t="n">
        <v>45</v>
      </c>
      <c r="O266" s="2" t="n">
        <v>235</v>
      </c>
      <c r="Q266" s="2" t="n">
        <f aca="false">F266+G266+H266</f>
        <v>279</v>
      </c>
    </row>
    <row r="267" customFormat="false" ht="12.8" hidden="false" customHeight="false" outlineLevel="0" collapsed="false">
      <c r="A267" s="2" t="s">
        <v>244</v>
      </c>
      <c r="B267" s="2" t="s">
        <v>211</v>
      </c>
      <c r="C267" s="2" t="s">
        <v>216</v>
      </c>
      <c r="D267" s="2" t="n">
        <v>209</v>
      </c>
      <c r="E267" s="2" t="n">
        <v>1</v>
      </c>
      <c r="F267" s="2" t="n">
        <v>0</v>
      </c>
      <c r="G267" s="2" t="n">
        <v>81</v>
      </c>
      <c r="H267" s="2" t="n">
        <v>175</v>
      </c>
      <c r="I267" s="2" t="n">
        <v>178</v>
      </c>
      <c r="J267" s="2" t="n">
        <v>26</v>
      </c>
      <c r="K267" s="2" t="n">
        <v>0</v>
      </c>
      <c r="L267" s="2" t="n">
        <v>5</v>
      </c>
      <c r="M267" s="2" t="n">
        <v>50</v>
      </c>
      <c r="N267" s="2" t="n">
        <v>31</v>
      </c>
      <c r="O267" s="2" t="n">
        <v>159</v>
      </c>
      <c r="Q267" s="2" t="n">
        <f aca="false">F267+G267+H267</f>
        <v>256</v>
      </c>
    </row>
    <row r="268" customFormat="false" ht="12.8" hidden="false" customHeight="false" outlineLevel="0" collapsed="false">
      <c r="A268" s="2" t="s">
        <v>244</v>
      </c>
      <c r="B268" s="2" t="s">
        <v>211</v>
      </c>
      <c r="C268" s="2" t="s">
        <v>217</v>
      </c>
      <c r="D268" s="2" t="n">
        <v>436</v>
      </c>
      <c r="E268" s="2" t="n">
        <v>1</v>
      </c>
      <c r="F268" s="2" t="n">
        <v>0</v>
      </c>
      <c r="G268" s="2" t="n">
        <v>186</v>
      </c>
      <c r="H268" s="2" t="n">
        <v>352</v>
      </c>
      <c r="I268" s="2" t="n">
        <v>354</v>
      </c>
      <c r="J268" s="2" t="n">
        <v>117</v>
      </c>
      <c r="K268" s="2" t="n">
        <v>10</v>
      </c>
      <c r="L268" s="2" t="n">
        <v>14</v>
      </c>
      <c r="M268" s="2" t="n">
        <v>58</v>
      </c>
      <c r="N268" s="2" t="n">
        <v>256</v>
      </c>
      <c r="O268" s="2" t="n">
        <v>346</v>
      </c>
      <c r="Q268" s="2" t="n">
        <f aca="false">F268+G268+H268</f>
        <v>538</v>
      </c>
    </row>
    <row r="269" customFormat="false" ht="12.8" hidden="false" customHeight="false" outlineLevel="0" collapsed="false">
      <c r="A269" s="2" t="s">
        <v>244</v>
      </c>
      <c r="B269" s="2" t="s">
        <v>211</v>
      </c>
      <c r="C269" s="2" t="s">
        <v>218</v>
      </c>
      <c r="D269" s="2" t="n">
        <v>380</v>
      </c>
      <c r="E269" s="2" t="n">
        <v>1</v>
      </c>
      <c r="F269" s="2" t="n">
        <v>0</v>
      </c>
      <c r="G269" s="2" t="n">
        <v>156</v>
      </c>
      <c r="H269" s="2" t="n">
        <v>298</v>
      </c>
      <c r="I269" s="2" t="n">
        <v>354</v>
      </c>
      <c r="J269" s="2" t="n">
        <v>67</v>
      </c>
      <c r="K269" s="2" t="n">
        <v>2</v>
      </c>
      <c r="L269" s="2" t="n">
        <v>6</v>
      </c>
      <c r="M269" s="2" t="n">
        <v>25</v>
      </c>
      <c r="N269" s="2" t="n">
        <v>171</v>
      </c>
      <c r="O269" s="2" t="n">
        <v>301</v>
      </c>
      <c r="Q269" s="2" t="n">
        <f aca="false">F269+G269+H269</f>
        <v>454</v>
      </c>
    </row>
    <row r="270" customFormat="false" ht="12.8" hidden="false" customHeight="false" outlineLevel="0" collapsed="false">
      <c r="A270" s="2" t="s">
        <v>244</v>
      </c>
      <c r="B270" s="2" t="s">
        <v>211</v>
      </c>
      <c r="C270" s="2" t="s">
        <v>219</v>
      </c>
      <c r="D270" s="2" t="n">
        <v>448</v>
      </c>
      <c r="E270" s="2" t="n">
        <v>3</v>
      </c>
      <c r="F270" s="2" t="n">
        <v>0</v>
      </c>
      <c r="G270" s="2" t="n">
        <v>188</v>
      </c>
      <c r="H270" s="2" t="n">
        <v>356</v>
      </c>
      <c r="I270" s="2" t="n">
        <v>412</v>
      </c>
      <c r="J270" s="2" t="n">
        <v>84</v>
      </c>
      <c r="K270" s="2" t="n">
        <v>5</v>
      </c>
      <c r="L270" s="2" t="n">
        <v>11</v>
      </c>
      <c r="M270" s="2" t="n">
        <v>36</v>
      </c>
      <c r="N270" s="2" t="n">
        <v>216</v>
      </c>
      <c r="O270" s="2" t="n">
        <v>329</v>
      </c>
      <c r="Q270" s="2" t="n">
        <f aca="false">F270+G270+H270</f>
        <v>544</v>
      </c>
    </row>
    <row r="271" customFormat="false" ht="12.8" hidden="false" customHeight="false" outlineLevel="0" collapsed="false">
      <c r="A271" s="2" t="s">
        <v>244</v>
      </c>
      <c r="B271" s="2" t="s">
        <v>211</v>
      </c>
      <c r="C271" s="2" t="s">
        <v>220</v>
      </c>
      <c r="D271" s="2" t="n">
        <v>412</v>
      </c>
      <c r="E271" s="2" t="n">
        <v>1</v>
      </c>
      <c r="F271" s="2" t="n">
        <v>0</v>
      </c>
      <c r="G271" s="2" t="n">
        <v>188</v>
      </c>
      <c r="H271" s="2" t="n">
        <v>350</v>
      </c>
      <c r="I271" s="2" t="n">
        <v>392</v>
      </c>
      <c r="J271" s="2" t="n">
        <v>71</v>
      </c>
      <c r="K271" s="2" t="n">
        <v>3</v>
      </c>
      <c r="L271" s="2" t="n">
        <v>14</v>
      </c>
      <c r="M271" s="2" t="n">
        <v>66</v>
      </c>
      <c r="N271" s="2" t="n">
        <v>250</v>
      </c>
      <c r="O271" s="2" t="n">
        <v>308</v>
      </c>
      <c r="Q271" s="2" t="n">
        <f aca="false">F271+G271+H271</f>
        <v>538</v>
      </c>
    </row>
    <row r="272" customFormat="false" ht="12.8" hidden="false" customHeight="false" outlineLevel="0" collapsed="false">
      <c r="A272" s="2" t="s">
        <v>244</v>
      </c>
      <c r="B272" s="2" t="s">
        <v>211</v>
      </c>
      <c r="C272" s="2" t="s">
        <v>221</v>
      </c>
      <c r="D272" s="2" t="n">
        <v>323</v>
      </c>
      <c r="E272" s="2" t="n">
        <v>0</v>
      </c>
      <c r="F272" s="2" t="n">
        <v>0</v>
      </c>
      <c r="G272" s="2" t="n">
        <v>145</v>
      </c>
      <c r="H272" s="2" t="n">
        <v>265</v>
      </c>
      <c r="I272" s="2" t="n">
        <v>315</v>
      </c>
      <c r="J272" s="2" t="n">
        <v>25</v>
      </c>
      <c r="K272" s="2" t="n">
        <v>6</v>
      </c>
      <c r="L272" s="2" t="n">
        <v>11</v>
      </c>
      <c r="M272" s="2" t="n">
        <v>62</v>
      </c>
      <c r="N272" s="2" t="n">
        <v>224</v>
      </c>
      <c r="O272" s="2" t="n">
        <v>229</v>
      </c>
      <c r="Q272" s="2" t="n">
        <f aca="false">F272+G272+H272</f>
        <v>410</v>
      </c>
    </row>
    <row r="273" customFormat="false" ht="12.8" hidden="false" customHeight="false" outlineLevel="0" collapsed="false">
      <c r="A273" s="2" t="s">
        <v>244</v>
      </c>
      <c r="B273" s="2" t="s">
        <v>211</v>
      </c>
      <c r="C273" s="2" t="s">
        <v>222</v>
      </c>
      <c r="D273" s="2" t="n">
        <v>357</v>
      </c>
      <c r="E273" s="2" t="n">
        <v>0</v>
      </c>
      <c r="F273" s="2" t="n">
        <v>0</v>
      </c>
      <c r="G273" s="2" t="n">
        <v>161</v>
      </c>
      <c r="H273" s="2" t="n">
        <v>282</v>
      </c>
      <c r="I273" s="2" t="n">
        <v>334</v>
      </c>
      <c r="J273" s="2" t="n">
        <v>47</v>
      </c>
      <c r="K273" s="2" t="n">
        <v>19</v>
      </c>
      <c r="L273" s="2" t="n">
        <v>11</v>
      </c>
      <c r="M273" s="2" t="n">
        <v>47</v>
      </c>
      <c r="N273" s="2" t="n">
        <v>195</v>
      </c>
      <c r="O273" s="2" t="n">
        <v>289</v>
      </c>
      <c r="Q273" s="2" t="n">
        <f aca="false">F273+G273+H273</f>
        <v>443</v>
      </c>
    </row>
    <row r="274" customFormat="false" ht="12.8" hidden="false" customHeight="false" outlineLevel="0" collapsed="false">
      <c r="A274" s="2" t="s">
        <v>244</v>
      </c>
      <c r="B274" s="2" t="s">
        <v>211</v>
      </c>
      <c r="C274" s="2" t="s">
        <v>223</v>
      </c>
      <c r="D274" s="2" t="n">
        <v>411</v>
      </c>
      <c r="E274" s="2" t="n">
        <v>0</v>
      </c>
      <c r="F274" s="2" t="n">
        <v>0</v>
      </c>
      <c r="G274" s="2" t="n">
        <v>163</v>
      </c>
      <c r="H274" s="2" t="n">
        <v>349</v>
      </c>
      <c r="I274" s="2" t="n">
        <v>404</v>
      </c>
      <c r="J274" s="2" t="n">
        <v>55</v>
      </c>
      <c r="K274" s="2" t="n">
        <v>4</v>
      </c>
      <c r="L274" s="2" t="n">
        <v>11</v>
      </c>
      <c r="M274" s="2" t="n">
        <v>44</v>
      </c>
      <c r="N274" s="2" t="n">
        <v>233</v>
      </c>
      <c r="O274" s="2" t="n">
        <v>305</v>
      </c>
      <c r="Q274" s="2" t="n">
        <f aca="false">F274+G274+H274</f>
        <v>512</v>
      </c>
    </row>
    <row r="275" customFormat="false" ht="12.8" hidden="false" customHeight="false" outlineLevel="0" collapsed="false">
      <c r="A275" s="2" t="s">
        <v>244</v>
      </c>
      <c r="B275" s="2" t="s">
        <v>211</v>
      </c>
      <c r="C275" s="2" t="s">
        <v>224</v>
      </c>
      <c r="D275" s="2" t="n">
        <v>500</v>
      </c>
      <c r="E275" s="2" t="n">
        <v>2</v>
      </c>
      <c r="F275" s="2" t="n">
        <v>0</v>
      </c>
      <c r="G275" s="2" t="n">
        <v>223</v>
      </c>
      <c r="H275" s="2" t="n">
        <v>416</v>
      </c>
      <c r="I275" s="2" t="n">
        <v>527</v>
      </c>
      <c r="J275" s="2" t="n">
        <v>73</v>
      </c>
      <c r="K275" s="2" t="n">
        <v>0</v>
      </c>
      <c r="L275" s="2" t="n">
        <v>4</v>
      </c>
      <c r="M275" s="2" t="n">
        <v>40</v>
      </c>
      <c r="N275" s="2" t="n">
        <v>210</v>
      </c>
      <c r="O275" s="2" t="n">
        <v>327</v>
      </c>
      <c r="Q275" s="2" t="n">
        <f aca="false">F275+G275+H275</f>
        <v>639</v>
      </c>
    </row>
    <row r="276" customFormat="false" ht="12.8" hidden="false" customHeight="false" outlineLevel="0" collapsed="false">
      <c r="A276" s="2" t="s">
        <v>245</v>
      </c>
      <c r="B276" s="2" t="s">
        <v>211</v>
      </c>
      <c r="C276" s="2" t="s">
        <v>212</v>
      </c>
      <c r="D276" s="2" t="n">
        <v>1693</v>
      </c>
      <c r="E276" s="2" t="n">
        <v>0</v>
      </c>
      <c r="F276" s="2" t="n">
        <v>0</v>
      </c>
      <c r="G276" s="2" t="n">
        <v>12</v>
      </c>
      <c r="H276" s="2" t="n">
        <v>1909</v>
      </c>
      <c r="I276" s="2" t="n">
        <v>1840</v>
      </c>
      <c r="J276" s="2" t="n">
        <v>0</v>
      </c>
      <c r="K276" s="2" t="n">
        <v>89</v>
      </c>
      <c r="L276" s="2" t="n">
        <v>0</v>
      </c>
      <c r="M276" s="2" t="n">
        <v>0</v>
      </c>
      <c r="N276" s="2" t="n">
        <v>149</v>
      </c>
      <c r="O276" s="2" t="n">
        <v>681</v>
      </c>
      <c r="Q276" s="2" t="n">
        <f aca="false">F276+G276+H276</f>
        <v>1921</v>
      </c>
    </row>
    <row r="277" customFormat="false" ht="12.8" hidden="false" customHeight="false" outlineLevel="0" collapsed="false">
      <c r="A277" s="2" t="s">
        <v>245</v>
      </c>
      <c r="B277" s="2" t="s">
        <v>211</v>
      </c>
      <c r="C277" s="2" t="s">
        <v>213</v>
      </c>
      <c r="D277" s="2" t="n">
        <v>1336</v>
      </c>
      <c r="E277" s="2" t="n">
        <v>15</v>
      </c>
      <c r="F277" s="2" t="n">
        <v>0</v>
      </c>
      <c r="G277" s="2" t="n">
        <v>451</v>
      </c>
      <c r="H277" s="2" t="n">
        <v>1047</v>
      </c>
      <c r="I277" s="2" t="n">
        <v>886</v>
      </c>
      <c r="J277" s="2" t="n">
        <v>1</v>
      </c>
      <c r="K277" s="2" t="n">
        <v>1368</v>
      </c>
      <c r="L277" s="2" t="n">
        <v>0</v>
      </c>
      <c r="M277" s="2" t="n">
        <v>0</v>
      </c>
      <c r="N277" s="2" t="n">
        <v>148</v>
      </c>
      <c r="O277" s="2" t="n">
        <v>1340</v>
      </c>
      <c r="Q277" s="2" t="n">
        <f aca="false">F277+G277+H277</f>
        <v>1498</v>
      </c>
    </row>
    <row r="278" customFormat="false" ht="12.8" hidden="false" customHeight="false" outlineLevel="0" collapsed="false">
      <c r="A278" s="2" t="s">
        <v>245</v>
      </c>
      <c r="B278" s="2" t="s">
        <v>211</v>
      </c>
      <c r="C278" s="2" t="s">
        <v>214</v>
      </c>
      <c r="D278" s="2" t="n">
        <v>1720</v>
      </c>
      <c r="E278" s="2" t="n">
        <v>9</v>
      </c>
      <c r="F278" s="2" t="n">
        <v>0</v>
      </c>
      <c r="G278" s="2" t="n">
        <v>715</v>
      </c>
      <c r="H278" s="2" t="n">
        <v>1220</v>
      </c>
      <c r="I278" s="2" t="n">
        <v>1024</v>
      </c>
      <c r="J278" s="2" t="n">
        <v>0</v>
      </c>
      <c r="K278" s="2" t="n">
        <v>1891</v>
      </c>
      <c r="L278" s="2" t="n">
        <v>0</v>
      </c>
      <c r="M278" s="2" t="n">
        <v>0</v>
      </c>
      <c r="N278" s="2" t="n">
        <v>291</v>
      </c>
      <c r="O278" s="2" t="n">
        <v>1386</v>
      </c>
      <c r="Q278" s="2" t="n">
        <f aca="false">F278+G278+H278</f>
        <v>1935</v>
      </c>
    </row>
    <row r="279" customFormat="false" ht="12.8" hidden="false" customHeight="false" outlineLevel="0" collapsed="false">
      <c r="A279" s="2" t="s">
        <v>245</v>
      </c>
      <c r="B279" s="2" t="s">
        <v>211</v>
      </c>
      <c r="C279" s="2" t="s">
        <v>215</v>
      </c>
      <c r="D279" s="2" t="n">
        <v>1741</v>
      </c>
      <c r="E279" s="2" t="n">
        <v>10</v>
      </c>
      <c r="F279" s="2" t="n">
        <v>0</v>
      </c>
      <c r="G279" s="2" t="n">
        <v>673</v>
      </c>
      <c r="H279" s="2" t="n">
        <v>1285</v>
      </c>
      <c r="I279" s="2" t="n">
        <v>723</v>
      </c>
      <c r="J279" s="2" t="n">
        <v>0</v>
      </c>
      <c r="K279" s="2" t="n">
        <v>2052</v>
      </c>
      <c r="L279" s="2" t="n">
        <v>0</v>
      </c>
      <c r="M279" s="2" t="n">
        <v>0</v>
      </c>
      <c r="N279" s="2" t="n">
        <v>216</v>
      </c>
      <c r="O279" s="2" t="n">
        <v>1284</v>
      </c>
      <c r="Q279" s="2" t="n">
        <f aca="false">F279+G279+H279</f>
        <v>1958</v>
      </c>
    </row>
    <row r="280" customFormat="false" ht="12.8" hidden="false" customHeight="false" outlineLevel="0" collapsed="false">
      <c r="A280" s="2" t="s">
        <v>245</v>
      </c>
      <c r="B280" s="2" t="s">
        <v>211</v>
      </c>
      <c r="C280" s="2" t="s">
        <v>216</v>
      </c>
      <c r="D280" s="2" t="n">
        <v>2198</v>
      </c>
      <c r="E280" s="2" t="n">
        <v>15</v>
      </c>
      <c r="F280" s="2" t="n">
        <v>0</v>
      </c>
      <c r="G280" s="2" t="n">
        <v>872</v>
      </c>
      <c r="H280" s="2" t="n">
        <v>1645</v>
      </c>
      <c r="I280" s="2" t="n">
        <v>1329</v>
      </c>
      <c r="J280" s="2" t="n">
        <v>4</v>
      </c>
      <c r="K280" s="2" t="n">
        <v>2243</v>
      </c>
      <c r="L280" s="2" t="n">
        <v>0</v>
      </c>
      <c r="M280" s="2" t="n">
        <v>0</v>
      </c>
      <c r="N280" s="2" t="n">
        <v>40</v>
      </c>
      <c r="O280" s="2" t="n">
        <v>1515</v>
      </c>
      <c r="Q280" s="2" t="n">
        <f aca="false">F280+G280+H280</f>
        <v>2517</v>
      </c>
    </row>
    <row r="281" customFormat="false" ht="12.8" hidden="false" customHeight="false" outlineLevel="0" collapsed="false">
      <c r="A281" s="2" t="s">
        <v>245</v>
      </c>
      <c r="B281" s="2" t="s">
        <v>211</v>
      </c>
      <c r="C281" s="2" t="s">
        <v>217</v>
      </c>
      <c r="D281" s="2" t="n">
        <v>1917</v>
      </c>
      <c r="E281" s="2" t="n">
        <v>0</v>
      </c>
      <c r="F281" s="2" t="n">
        <v>0</v>
      </c>
      <c r="G281" s="2" t="n">
        <v>5</v>
      </c>
      <c r="H281" s="2" t="n">
        <v>2157</v>
      </c>
      <c r="I281" s="2" t="n">
        <v>2073</v>
      </c>
      <c r="J281" s="2" t="n">
        <v>0</v>
      </c>
      <c r="K281" s="2" t="n">
        <v>60</v>
      </c>
      <c r="L281" s="2" t="n">
        <v>0</v>
      </c>
      <c r="M281" s="2" t="n">
        <v>0</v>
      </c>
      <c r="N281" s="2" t="n">
        <v>189</v>
      </c>
      <c r="O281" s="2" t="n">
        <v>887</v>
      </c>
      <c r="Q281" s="2" t="n">
        <f aca="false">F281+G281+H281</f>
        <v>2162</v>
      </c>
    </row>
    <row r="282" customFormat="false" ht="12.8" hidden="false" customHeight="false" outlineLevel="0" collapsed="false">
      <c r="A282" s="2" t="s">
        <v>245</v>
      </c>
      <c r="B282" s="2" t="s">
        <v>211</v>
      </c>
      <c r="C282" s="2" t="s">
        <v>218</v>
      </c>
      <c r="D282" s="2" t="n">
        <v>1744</v>
      </c>
      <c r="E282" s="2" t="n">
        <v>0</v>
      </c>
      <c r="F282" s="2" t="n">
        <v>0</v>
      </c>
      <c r="G282" s="2" t="n">
        <v>4</v>
      </c>
      <c r="H282" s="2" t="n">
        <v>2007</v>
      </c>
      <c r="I282" s="2" t="n">
        <v>1927</v>
      </c>
      <c r="J282" s="2" t="n">
        <v>0</v>
      </c>
      <c r="K282" s="2" t="n">
        <v>62</v>
      </c>
      <c r="L282" s="2" t="n">
        <v>0</v>
      </c>
      <c r="M282" s="2" t="n">
        <v>0</v>
      </c>
      <c r="N282" s="2" t="n">
        <v>166</v>
      </c>
      <c r="O282" s="2" t="n">
        <v>705</v>
      </c>
      <c r="Q282" s="2" t="n">
        <f aca="false">F282+G282+H282</f>
        <v>2011</v>
      </c>
    </row>
    <row r="283" customFormat="false" ht="12.8" hidden="false" customHeight="false" outlineLevel="0" collapsed="false">
      <c r="A283" s="2" t="s">
        <v>245</v>
      </c>
      <c r="B283" s="2" t="s">
        <v>211</v>
      </c>
      <c r="C283" s="2" t="s">
        <v>219</v>
      </c>
      <c r="D283" s="2" t="n">
        <v>1823</v>
      </c>
      <c r="E283" s="2" t="n">
        <v>0</v>
      </c>
      <c r="F283" s="2" t="n">
        <v>0</v>
      </c>
      <c r="G283" s="2" t="n">
        <v>2</v>
      </c>
      <c r="H283" s="2" t="n">
        <v>2105</v>
      </c>
      <c r="I283" s="2" t="n">
        <v>2025</v>
      </c>
      <c r="J283" s="2" t="n">
        <v>0</v>
      </c>
      <c r="K283" s="2" t="n">
        <v>110</v>
      </c>
      <c r="L283" s="2" t="n">
        <v>0</v>
      </c>
      <c r="M283" s="2" t="n">
        <v>0</v>
      </c>
      <c r="N283" s="2" t="n">
        <v>164</v>
      </c>
      <c r="O283" s="2" t="n">
        <v>865</v>
      </c>
      <c r="Q283" s="2" t="n">
        <f aca="false">F283+G283+H283</f>
        <v>2107</v>
      </c>
    </row>
    <row r="284" customFormat="false" ht="12.8" hidden="false" customHeight="false" outlineLevel="0" collapsed="false">
      <c r="A284" s="2" t="s">
        <v>245</v>
      </c>
      <c r="B284" s="2" t="s">
        <v>211</v>
      </c>
      <c r="C284" s="2" t="s">
        <v>220</v>
      </c>
      <c r="D284" s="2" t="n">
        <v>1898</v>
      </c>
      <c r="E284" s="2" t="n">
        <v>0</v>
      </c>
      <c r="F284" s="2" t="n">
        <v>0</v>
      </c>
      <c r="G284" s="2" t="n">
        <v>2</v>
      </c>
      <c r="H284" s="2" t="n">
        <v>2220</v>
      </c>
      <c r="I284" s="2" t="n">
        <v>2050</v>
      </c>
      <c r="J284" s="2" t="n">
        <v>0</v>
      </c>
      <c r="K284" s="2" t="n">
        <v>124</v>
      </c>
      <c r="L284" s="2" t="n">
        <v>0</v>
      </c>
      <c r="M284" s="2" t="n">
        <v>0</v>
      </c>
      <c r="N284" s="2" t="n">
        <v>180</v>
      </c>
      <c r="O284" s="2" t="n">
        <v>811</v>
      </c>
      <c r="Q284" s="2" t="n">
        <f aca="false">F284+G284+H284</f>
        <v>2222</v>
      </c>
    </row>
    <row r="285" customFormat="false" ht="12.8" hidden="false" customHeight="false" outlineLevel="0" collapsed="false">
      <c r="A285" s="2" t="s">
        <v>245</v>
      </c>
      <c r="B285" s="2" t="s">
        <v>211</v>
      </c>
      <c r="C285" s="2" t="s">
        <v>221</v>
      </c>
      <c r="D285" s="2" t="n">
        <v>1876</v>
      </c>
      <c r="E285" s="2" t="n">
        <v>0</v>
      </c>
      <c r="F285" s="2" t="n">
        <v>0</v>
      </c>
      <c r="G285" s="2" t="n">
        <v>2</v>
      </c>
      <c r="H285" s="2" t="n">
        <v>2211</v>
      </c>
      <c r="I285" s="2" t="n">
        <v>2092</v>
      </c>
      <c r="J285" s="2" t="n">
        <v>0</v>
      </c>
      <c r="K285" s="2" t="n">
        <v>55</v>
      </c>
      <c r="L285" s="2" t="n">
        <v>0</v>
      </c>
      <c r="M285" s="2" t="n">
        <v>0</v>
      </c>
      <c r="N285" s="2" t="n">
        <v>175</v>
      </c>
      <c r="O285" s="2" t="n">
        <v>839</v>
      </c>
      <c r="Q285" s="2" t="n">
        <f aca="false">F285+G285+H285</f>
        <v>2213</v>
      </c>
    </row>
    <row r="286" customFormat="false" ht="12.8" hidden="false" customHeight="false" outlineLevel="0" collapsed="false">
      <c r="A286" s="2" t="s">
        <v>245</v>
      </c>
      <c r="B286" s="2" t="s">
        <v>211</v>
      </c>
      <c r="C286" s="2" t="s">
        <v>222</v>
      </c>
      <c r="D286" s="2" t="n">
        <v>1888</v>
      </c>
      <c r="E286" s="2" t="n">
        <v>0</v>
      </c>
      <c r="F286" s="2" t="n">
        <v>0</v>
      </c>
      <c r="G286" s="2" t="n">
        <v>10</v>
      </c>
      <c r="H286" s="2" t="n">
        <v>2164</v>
      </c>
      <c r="I286" s="2" t="n">
        <v>2093</v>
      </c>
      <c r="J286" s="2" t="n">
        <v>0</v>
      </c>
      <c r="K286" s="2" t="n">
        <v>75</v>
      </c>
      <c r="L286" s="2" t="n">
        <v>0</v>
      </c>
      <c r="M286" s="2" t="n">
        <v>0</v>
      </c>
      <c r="N286" s="2" t="n">
        <v>165</v>
      </c>
      <c r="O286" s="2" t="n">
        <v>875</v>
      </c>
      <c r="Q286" s="2" t="n">
        <f aca="false">F286+G286+H286</f>
        <v>2174</v>
      </c>
    </row>
    <row r="287" customFormat="false" ht="12.8" hidden="false" customHeight="false" outlineLevel="0" collapsed="false">
      <c r="A287" s="2" t="s">
        <v>245</v>
      </c>
      <c r="B287" s="2" t="s">
        <v>211</v>
      </c>
      <c r="C287" s="2" t="s">
        <v>223</v>
      </c>
      <c r="D287" s="2" t="n">
        <v>1821</v>
      </c>
      <c r="E287" s="2" t="n">
        <v>0</v>
      </c>
      <c r="F287" s="2" t="n">
        <v>0</v>
      </c>
      <c r="G287" s="2" t="n">
        <v>5</v>
      </c>
      <c r="H287" s="2" t="n">
        <v>2083</v>
      </c>
      <c r="I287" s="2" t="n">
        <v>2004</v>
      </c>
      <c r="J287" s="2" t="n">
        <v>0</v>
      </c>
      <c r="K287" s="2" t="n">
        <v>60</v>
      </c>
      <c r="L287" s="2" t="n">
        <v>0</v>
      </c>
      <c r="M287" s="2" t="n">
        <v>0</v>
      </c>
      <c r="N287" s="2" t="n">
        <v>186</v>
      </c>
      <c r="O287" s="2" t="n">
        <v>765</v>
      </c>
      <c r="Q287" s="2" t="n">
        <f aca="false">F287+G287+H287</f>
        <v>2088</v>
      </c>
    </row>
    <row r="288" customFormat="false" ht="12.8" hidden="false" customHeight="false" outlineLevel="0" collapsed="false">
      <c r="A288" s="2" t="s">
        <v>245</v>
      </c>
      <c r="B288" s="2" t="s">
        <v>211</v>
      </c>
      <c r="C288" s="2" t="s">
        <v>224</v>
      </c>
      <c r="D288" s="2" t="n">
        <v>1745</v>
      </c>
      <c r="E288" s="2" t="n">
        <v>0</v>
      </c>
      <c r="F288" s="2" t="n">
        <v>0</v>
      </c>
      <c r="G288" s="2" t="n">
        <v>1</v>
      </c>
      <c r="H288" s="2" t="n">
        <v>1998</v>
      </c>
      <c r="I288" s="2" t="n">
        <v>1920</v>
      </c>
      <c r="J288" s="2" t="n">
        <v>0</v>
      </c>
      <c r="K288" s="2" t="n">
        <v>45</v>
      </c>
      <c r="L288" s="2" t="n">
        <v>0</v>
      </c>
      <c r="M288" s="2" t="n">
        <v>0</v>
      </c>
      <c r="N288" s="2" t="n">
        <v>185</v>
      </c>
      <c r="O288" s="2" t="n">
        <v>758</v>
      </c>
      <c r="Q288" s="2" t="n">
        <f aca="false">F288+G288+H288</f>
        <v>1999</v>
      </c>
    </row>
    <row r="289" customFormat="false" ht="12.8" hidden="false" customHeight="false" outlineLevel="0" collapsed="false">
      <c r="A289" s="2" t="s">
        <v>246</v>
      </c>
      <c r="B289" s="2" t="s">
        <v>211</v>
      </c>
      <c r="C289" s="2" t="s">
        <v>212</v>
      </c>
      <c r="D289" s="2" t="n">
        <v>1404</v>
      </c>
      <c r="E289" s="2" t="n">
        <v>0</v>
      </c>
      <c r="F289" s="2" t="n">
        <v>0</v>
      </c>
      <c r="G289" s="2" t="n">
        <v>1326</v>
      </c>
      <c r="H289" s="2" t="n">
        <v>316</v>
      </c>
      <c r="I289" s="2" t="n">
        <v>704</v>
      </c>
      <c r="J289" s="2" t="n">
        <v>899</v>
      </c>
      <c r="K289" s="2" t="n">
        <v>2350</v>
      </c>
      <c r="L289" s="2" t="n">
        <v>0</v>
      </c>
      <c r="M289" s="2" t="n">
        <v>40</v>
      </c>
      <c r="N289" s="2" t="n">
        <v>108</v>
      </c>
      <c r="O289" s="2" t="n">
        <v>1379</v>
      </c>
      <c r="Q289" s="2" t="n">
        <f aca="false">F289+G289+H289</f>
        <v>1642</v>
      </c>
    </row>
    <row r="290" customFormat="false" ht="12.8" hidden="false" customHeight="false" outlineLevel="0" collapsed="false">
      <c r="A290" s="2" t="s">
        <v>246</v>
      </c>
      <c r="B290" s="2" t="s">
        <v>211</v>
      </c>
      <c r="C290" s="2" t="s">
        <v>213</v>
      </c>
      <c r="D290" s="2" t="n">
        <v>1413</v>
      </c>
      <c r="E290" s="2" t="n">
        <v>0</v>
      </c>
      <c r="F290" s="2" t="n">
        <v>0</v>
      </c>
      <c r="G290" s="2" t="n">
        <v>1640</v>
      </c>
      <c r="H290" s="2" t="n">
        <v>345</v>
      </c>
      <c r="I290" s="2" t="n">
        <v>1141</v>
      </c>
      <c r="J290" s="2" t="n">
        <v>778</v>
      </c>
      <c r="K290" s="2" t="n">
        <v>3120</v>
      </c>
      <c r="L290" s="2" t="n">
        <v>0</v>
      </c>
      <c r="M290" s="2" t="n">
        <v>45</v>
      </c>
      <c r="N290" s="2" t="n">
        <v>87</v>
      </c>
      <c r="O290" s="2" t="n">
        <v>1944</v>
      </c>
      <c r="Q290" s="2" t="n">
        <f aca="false">F290+G290+H290</f>
        <v>1985</v>
      </c>
    </row>
    <row r="291" customFormat="false" ht="12.8" hidden="false" customHeight="false" outlineLevel="0" collapsed="false">
      <c r="A291" s="2" t="s">
        <v>246</v>
      </c>
      <c r="B291" s="2" t="s">
        <v>211</v>
      </c>
      <c r="C291" s="2" t="s">
        <v>214</v>
      </c>
      <c r="D291" s="2" t="n">
        <v>1390</v>
      </c>
      <c r="E291" s="2" t="n">
        <v>0</v>
      </c>
      <c r="F291" s="2" t="n">
        <v>0</v>
      </c>
      <c r="G291" s="2" t="n">
        <v>1654</v>
      </c>
      <c r="H291" s="2" t="n">
        <v>418</v>
      </c>
      <c r="I291" s="2" t="n">
        <v>1126</v>
      </c>
      <c r="J291" s="2" t="n">
        <v>881</v>
      </c>
      <c r="K291" s="2" t="n">
        <v>3148</v>
      </c>
      <c r="L291" s="2" t="n">
        <v>0</v>
      </c>
      <c r="M291" s="2" t="n">
        <v>51</v>
      </c>
      <c r="N291" s="2" t="n">
        <v>124</v>
      </c>
      <c r="O291" s="2" t="n">
        <v>1710</v>
      </c>
      <c r="Q291" s="2" t="n">
        <f aca="false">F291+G291+H291</f>
        <v>2072</v>
      </c>
    </row>
    <row r="292" customFormat="false" ht="12.8" hidden="false" customHeight="false" outlineLevel="0" collapsed="false">
      <c r="A292" s="2" t="s">
        <v>246</v>
      </c>
      <c r="B292" s="2" t="s">
        <v>211</v>
      </c>
      <c r="C292" s="2" t="s">
        <v>215</v>
      </c>
      <c r="D292" s="2" t="n">
        <v>1468</v>
      </c>
      <c r="E292" s="2" t="n">
        <v>0</v>
      </c>
      <c r="F292" s="2" t="n">
        <v>0</v>
      </c>
      <c r="G292" s="2" t="n">
        <v>1739</v>
      </c>
      <c r="H292" s="2" t="n">
        <v>416</v>
      </c>
      <c r="I292" s="2" t="n">
        <v>1180</v>
      </c>
      <c r="J292" s="2" t="n">
        <v>937</v>
      </c>
      <c r="K292" s="2" t="n">
        <v>3251</v>
      </c>
      <c r="L292" s="2" t="n">
        <v>0</v>
      </c>
      <c r="M292" s="2" t="n">
        <v>45</v>
      </c>
      <c r="N292" s="2" t="n">
        <v>174</v>
      </c>
      <c r="O292" s="2" t="n">
        <v>1844</v>
      </c>
      <c r="Q292" s="2" t="n">
        <f aca="false">F292+G292+H292</f>
        <v>2155</v>
      </c>
    </row>
    <row r="293" customFormat="false" ht="12.8" hidden="false" customHeight="false" outlineLevel="0" collapsed="false">
      <c r="A293" s="2" t="s">
        <v>246</v>
      </c>
      <c r="B293" s="2" t="s">
        <v>211</v>
      </c>
      <c r="C293" s="2" t="s">
        <v>216</v>
      </c>
      <c r="D293" s="2" t="n">
        <v>1361</v>
      </c>
      <c r="E293" s="2" t="n">
        <v>0</v>
      </c>
      <c r="F293" s="2" t="n">
        <v>0</v>
      </c>
      <c r="G293" s="2" t="n">
        <v>1660</v>
      </c>
      <c r="H293" s="2" t="n">
        <v>405</v>
      </c>
      <c r="I293" s="2" t="n">
        <v>1148</v>
      </c>
      <c r="J293" s="2" t="n">
        <v>912</v>
      </c>
      <c r="K293" s="2" t="n">
        <v>3157</v>
      </c>
      <c r="L293" s="2" t="n">
        <v>0</v>
      </c>
      <c r="M293" s="2" t="n">
        <v>1</v>
      </c>
      <c r="N293" s="2" t="n">
        <v>177</v>
      </c>
      <c r="O293" s="2" t="n">
        <v>1615</v>
      </c>
      <c r="Q293" s="2" t="n">
        <f aca="false">F293+G293+H293</f>
        <v>2065</v>
      </c>
    </row>
    <row r="294" customFormat="false" ht="12.8" hidden="false" customHeight="false" outlineLevel="0" collapsed="false">
      <c r="A294" s="2" t="s">
        <v>246</v>
      </c>
      <c r="B294" s="2" t="s">
        <v>211</v>
      </c>
      <c r="C294" s="2" t="s">
        <v>217</v>
      </c>
      <c r="D294" s="2" t="n">
        <v>1658</v>
      </c>
      <c r="E294" s="2" t="n">
        <v>0</v>
      </c>
      <c r="F294" s="2" t="n">
        <v>0</v>
      </c>
      <c r="G294" s="2" t="n">
        <v>1574</v>
      </c>
      <c r="H294" s="2" t="n">
        <v>369</v>
      </c>
      <c r="I294" s="2" t="n">
        <v>988</v>
      </c>
      <c r="J294" s="2" t="n">
        <v>888</v>
      </c>
      <c r="K294" s="2" t="n">
        <v>2954</v>
      </c>
      <c r="L294" s="2" t="n">
        <v>0</v>
      </c>
      <c r="M294" s="2" t="n">
        <v>45</v>
      </c>
      <c r="N294" s="2" t="n">
        <v>94</v>
      </c>
      <c r="O294" s="2" t="n">
        <v>1879</v>
      </c>
      <c r="Q294" s="2" t="n">
        <f aca="false">F294+G294+H294</f>
        <v>1943</v>
      </c>
    </row>
    <row r="295" customFormat="false" ht="12.8" hidden="false" customHeight="false" outlineLevel="0" collapsed="false">
      <c r="A295" s="2" t="s">
        <v>246</v>
      </c>
      <c r="B295" s="2" t="s">
        <v>211</v>
      </c>
      <c r="C295" s="2" t="s">
        <v>218</v>
      </c>
      <c r="D295" s="2" t="n">
        <v>1468</v>
      </c>
      <c r="E295" s="2" t="n">
        <v>0</v>
      </c>
      <c r="F295" s="2" t="n">
        <v>0</v>
      </c>
      <c r="G295" s="2" t="n">
        <v>1489</v>
      </c>
      <c r="H295" s="2" t="n">
        <v>336</v>
      </c>
      <c r="I295" s="2" t="n">
        <v>929</v>
      </c>
      <c r="J295" s="2" t="n">
        <v>811</v>
      </c>
      <c r="K295" s="2" t="n">
        <v>2770</v>
      </c>
      <c r="L295" s="2" t="n">
        <v>0</v>
      </c>
      <c r="M295" s="2" t="n">
        <v>52</v>
      </c>
      <c r="N295" s="2" t="n">
        <v>134</v>
      </c>
      <c r="O295" s="2" t="n">
        <v>1535</v>
      </c>
      <c r="Q295" s="2" t="n">
        <f aca="false">F295+G295+H295</f>
        <v>1825</v>
      </c>
    </row>
    <row r="296" customFormat="false" ht="12.8" hidden="false" customHeight="false" outlineLevel="0" collapsed="false">
      <c r="A296" s="2" t="s">
        <v>246</v>
      </c>
      <c r="B296" s="2" t="s">
        <v>211</v>
      </c>
      <c r="C296" s="2" t="s">
        <v>219</v>
      </c>
      <c r="D296" s="2" t="n">
        <v>1385</v>
      </c>
      <c r="E296" s="2" t="n">
        <v>0</v>
      </c>
      <c r="F296" s="2" t="n">
        <v>0</v>
      </c>
      <c r="G296" s="2" t="n">
        <v>1406</v>
      </c>
      <c r="H296" s="2" t="n">
        <v>374</v>
      </c>
      <c r="I296" s="2" t="n">
        <v>1036</v>
      </c>
      <c r="J296" s="2" t="n">
        <v>698</v>
      </c>
      <c r="K296" s="2" t="n">
        <v>2651</v>
      </c>
      <c r="L296" s="2" t="n">
        <v>0</v>
      </c>
      <c r="M296" s="2" t="n">
        <v>16</v>
      </c>
      <c r="N296" s="2" t="n">
        <v>152</v>
      </c>
      <c r="O296" s="2" t="n">
        <v>1651</v>
      </c>
      <c r="Q296" s="2" t="n">
        <f aca="false">F296+G296+H296</f>
        <v>1780</v>
      </c>
    </row>
    <row r="297" customFormat="false" ht="12.8" hidden="false" customHeight="false" outlineLevel="0" collapsed="false">
      <c r="A297" s="2" t="s">
        <v>246</v>
      </c>
      <c r="B297" s="2" t="s">
        <v>211</v>
      </c>
      <c r="C297" s="2" t="s">
        <v>220</v>
      </c>
      <c r="D297" s="2" t="n">
        <v>1259</v>
      </c>
      <c r="E297" s="2" t="n">
        <v>0</v>
      </c>
      <c r="F297" s="2" t="n">
        <v>0</v>
      </c>
      <c r="G297" s="2" t="n">
        <v>1311</v>
      </c>
      <c r="H297" s="2" t="n">
        <v>328</v>
      </c>
      <c r="I297" s="2" t="n">
        <v>899</v>
      </c>
      <c r="J297" s="2" t="n">
        <v>670</v>
      </c>
      <c r="K297" s="2" t="n">
        <v>2484</v>
      </c>
      <c r="L297" s="2" t="n">
        <v>0</v>
      </c>
      <c r="M297" s="2" t="n">
        <v>21</v>
      </c>
      <c r="N297" s="2" t="n">
        <v>89</v>
      </c>
      <c r="O297" s="2" t="n">
        <v>1571</v>
      </c>
      <c r="Q297" s="2" t="n">
        <f aca="false">F297+G297+H297</f>
        <v>1639</v>
      </c>
    </row>
    <row r="298" customFormat="false" ht="12.8" hidden="false" customHeight="false" outlineLevel="0" collapsed="false">
      <c r="A298" s="2" t="s">
        <v>246</v>
      </c>
      <c r="B298" s="2" t="s">
        <v>211</v>
      </c>
      <c r="C298" s="2" t="s">
        <v>221</v>
      </c>
      <c r="D298" s="2" t="n">
        <v>1274</v>
      </c>
      <c r="E298" s="2" t="n">
        <v>0</v>
      </c>
      <c r="F298" s="2" t="n">
        <v>0</v>
      </c>
      <c r="G298" s="2" t="n">
        <v>1368</v>
      </c>
      <c r="H298" s="2" t="n">
        <v>331</v>
      </c>
      <c r="I298" s="2" t="n">
        <v>932</v>
      </c>
      <c r="J298" s="2" t="n">
        <v>711</v>
      </c>
      <c r="K298" s="2" t="n">
        <v>2428</v>
      </c>
      <c r="L298" s="2" t="n">
        <v>0</v>
      </c>
      <c r="M298" s="2" t="n">
        <v>9</v>
      </c>
      <c r="N298" s="2" t="n">
        <v>106</v>
      </c>
      <c r="O298" s="2" t="n">
        <v>1495</v>
      </c>
      <c r="Q298" s="2" t="n">
        <f aca="false">F298+G298+H298</f>
        <v>1699</v>
      </c>
    </row>
    <row r="299" customFormat="false" ht="12.8" hidden="false" customHeight="false" outlineLevel="0" collapsed="false">
      <c r="A299" s="2" t="s">
        <v>246</v>
      </c>
      <c r="B299" s="2" t="s">
        <v>211</v>
      </c>
      <c r="C299" s="2" t="s">
        <v>222</v>
      </c>
      <c r="D299" s="2" t="n">
        <v>1383</v>
      </c>
      <c r="E299" s="2" t="n">
        <v>0</v>
      </c>
      <c r="F299" s="2" t="n">
        <v>0</v>
      </c>
      <c r="G299" s="2" t="n">
        <v>1536</v>
      </c>
      <c r="H299" s="2" t="n">
        <v>347</v>
      </c>
      <c r="I299" s="2" t="n">
        <v>989</v>
      </c>
      <c r="J299" s="2" t="n">
        <v>763</v>
      </c>
      <c r="K299" s="2" t="n">
        <v>2729</v>
      </c>
      <c r="L299" s="2" t="n">
        <v>0</v>
      </c>
      <c r="M299" s="2" t="n">
        <v>59</v>
      </c>
      <c r="N299" s="2" t="n">
        <v>106</v>
      </c>
      <c r="O299" s="2" t="n">
        <v>1669</v>
      </c>
      <c r="Q299" s="2" t="n">
        <f aca="false">F299+G299+H299</f>
        <v>1883</v>
      </c>
    </row>
    <row r="300" customFormat="false" ht="12.8" hidden="false" customHeight="false" outlineLevel="0" collapsed="false">
      <c r="A300" s="2" t="s">
        <v>246</v>
      </c>
      <c r="B300" s="2" t="s">
        <v>211</v>
      </c>
      <c r="C300" s="2" t="s">
        <v>223</v>
      </c>
      <c r="D300" s="2" t="n">
        <v>1426</v>
      </c>
      <c r="E300" s="2" t="n">
        <v>0</v>
      </c>
      <c r="F300" s="2" t="n">
        <v>0</v>
      </c>
      <c r="G300" s="2" t="n">
        <v>1524</v>
      </c>
      <c r="H300" s="2" t="n">
        <v>380</v>
      </c>
      <c r="I300" s="2" t="n">
        <v>1050</v>
      </c>
      <c r="J300" s="2" t="n">
        <v>689</v>
      </c>
      <c r="K300" s="2" t="n">
        <v>2899</v>
      </c>
      <c r="L300" s="2" t="n">
        <v>0</v>
      </c>
      <c r="M300" s="2" t="n">
        <v>53</v>
      </c>
      <c r="N300" s="2" t="n">
        <v>97</v>
      </c>
      <c r="O300" s="2" t="n">
        <v>1739</v>
      </c>
      <c r="Q300" s="2" t="n">
        <f aca="false">F300+G300+H300</f>
        <v>1904</v>
      </c>
    </row>
    <row r="301" customFormat="false" ht="12.8" hidden="false" customHeight="false" outlineLevel="0" collapsed="false">
      <c r="A301" s="2" t="s">
        <v>246</v>
      </c>
      <c r="B301" s="2" t="s">
        <v>211</v>
      </c>
      <c r="C301" s="2" t="s">
        <v>224</v>
      </c>
      <c r="D301" s="2" t="n">
        <v>1356</v>
      </c>
      <c r="E301" s="2" t="n">
        <v>0</v>
      </c>
      <c r="F301" s="2" t="n">
        <v>0</v>
      </c>
      <c r="G301" s="2" t="n">
        <v>1503</v>
      </c>
      <c r="H301" s="2" t="n">
        <v>343</v>
      </c>
      <c r="I301" s="2" t="n">
        <v>1067</v>
      </c>
      <c r="J301" s="2" t="n">
        <v>546</v>
      </c>
      <c r="K301" s="2" t="n">
        <v>2879</v>
      </c>
      <c r="L301" s="2" t="n">
        <v>0</v>
      </c>
      <c r="M301" s="2" t="n">
        <v>49</v>
      </c>
      <c r="N301" s="2" t="n">
        <v>69</v>
      </c>
      <c r="O301" s="2" t="n">
        <v>1465</v>
      </c>
      <c r="Q301" s="2" t="n">
        <f aca="false">F301+G301+H301</f>
        <v>1846</v>
      </c>
    </row>
    <row r="302" customFormat="false" ht="12.8" hidden="false" customHeight="false" outlineLevel="0" collapsed="false">
      <c r="A302" s="2" t="s">
        <v>247</v>
      </c>
      <c r="B302" s="2" t="s">
        <v>211</v>
      </c>
      <c r="C302" s="2" t="s">
        <v>212</v>
      </c>
      <c r="D302" s="2" t="n">
        <v>2136</v>
      </c>
      <c r="E302" s="2" t="n">
        <v>0</v>
      </c>
      <c r="F302" s="2" t="n">
        <v>0</v>
      </c>
      <c r="G302" s="2" t="n">
        <v>1763</v>
      </c>
      <c r="H302" s="2" t="n">
        <v>617</v>
      </c>
      <c r="I302" s="2" t="n">
        <v>1614</v>
      </c>
      <c r="J302" s="2" t="n">
        <v>747</v>
      </c>
      <c r="K302" s="2" t="n">
        <v>5317</v>
      </c>
      <c r="L302" s="2" t="n">
        <v>0</v>
      </c>
      <c r="M302" s="2" t="n">
        <v>184</v>
      </c>
      <c r="N302" s="2" t="n">
        <v>87</v>
      </c>
      <c r="O302" s="2" t="n">
        <v>3204</v>
      </c>
      <c r="Q302" s="2" t="n">
        <f aca="false">F302+G302+H302</f>
        <v>2380</v>
      </c>
    </row>
    <row r="303" customFormat="false" ht="12.8" hidden="false" customHeight="false" outlineLevel="0" collapsed="false">
      <c r="A303" s="2" t="s">
        <v>247</v>
      </c>
      <c r="B303" s="2" t="s">
        <v>211</v>
      </c>
      <c r="C303" s="2" t="s">
        <v>213</v>
      </c>
      <c r="D303" s="2" t="n">
        <v>1820</v>
      </c>
      <c r="E303" s="2" t="n">
        <v>0</v>
      </c>
      <c r="F303" s="2" t="n">
        <v>0</v>
      </c>
      <c r="G303" s="2" t="n">
        <v>2023</v>
      </c>
      <c r="H303" s="2" t="n">
        <v>645</v>
      </c>
      <c r="I303" s="2" t="n">
        <v>1688</v>
      </c>
      <c r="J303" s="2" t="n">
        <v>902</v>
      </c>
      <c r="K303" s="2" t="n">
        <v>5709</v>
      </c>
      <c r="L303" s="2" t="n">
        <v>0</v>
      </c>
      <c r="M303" s="2" t="n">
        <v>120</v>
      </c>
      <c r="N303" s="2" t="n">
        <v>96</v>
      </c>
      <c r="O303" s="2" t="n">
        <v>3791</v>
      </c>
      <c r="Q303" s="2" t="n">
        <f aca="false">F303+G303+H303</f>
        <v>2668</v>
      </c>
    </row>
    <row r="304" customFormat="false" ht="12.8" hidden="false" customHeight="false" outlineLevel="0" collapsed="false">
      <c r="A304" s="2" t="s">
        <v>247</v>
      </c>
      <c r="B304" s="2" t="s">
        <v>211</v>
      </c>
      <c r="C304" s="2" t="s">
        <v>214</v>
      </c>
      <c r="D304" s="2" t="n">
        <v>1825</v>
      </c>
      <c r="E304" s="2" t="n">
        <v>0</v>
      </c>
      <c r="F304" s="2" t="n">
        <v>0</v>
      </c>
      <c r="G304" s="2" t="n">
        <v>1997</v>
      </c>
      <c r="H304" s="2" t="n">
        <v>796</v>
      </c>
      <c r="I304" s="2" t="n">
        <v>1732</v>
      </c>
      <c r="J304" s="2" t="n">
        <v>876</v>
      </c>
      <c r="K304" s="2" t="n">
        <v>5744</v>
      </c>
      <c r="L304" s="2" t="n">
        <v>0</v>
      </c>
      <c r="M304" s="2" t="n">
        <v>263</v>
      </c>
      <c r="N304" s="2" t="n">
        <v>129</v>
      </c>
      <c r="O304" s="2" t="n">
        <v>3269</v>
      </c>
      <c r="Q304" s="2" t="n">
        <f aca="false">F304+G304+H304</f>
        <v>2793</v>
      </c>
    </row>
    <row r="305" customFormat="false" ht="12.8" hidden="false" customHeight="false" outlineLevel="0" collapsed="false">
      <c r="A305" s="2" t="s">
        <v>247</v>
      </c>
      <c r="B305" s="2" t="s">
        <v>211</v>
      </c>
      <c r="C305" s="2" t="s">
        <v>215</v>
      </c>
      <c r="D305" s="2" t="n">
        <v>1899</v>
      </c>
      <c r="E305" s="2" t="n">
        <v>0</v>
      </c>
      <c r="F305" s="2" t="n">
        <v>0</v>
      </c>
      <c r="G305" s="2" t="n">
        <v>2081</v>
      </c>
      <c r="H305" s="2" t="n">
        <v>736</v>
      </c>
      <c r="I305" s="2" t="n">
        <v>1670</v>
      </c>
      <c r="J305" s="2" t="n">
        <v>1011</v>
      </c>
      <c r="K305" s="2" t="n">
        <v>6012</v>
      </c>
      <c r="L305" s="2" t="n">
        <v>0</v>
      </c>
      <c r="M305" s="2" t="n">
        <v>162</v>
      </c>
      <c r="N305" s="2" t="n">
        <v>94</v>
      </c>
      <c r="O305" s="2" t="n">
        <v>3136</v>
      </c>
      <c r="Q305" s="2" t="n">
        <f aca="false">F305+G305+H305</f>
        <v>2817</v>
      </c>
    </row>
    <row r="306" customFormat="false" ht="12.8" hidden="false" customHeight="false" outlineLevel="0" collapsed="false">
      <c r="A306" s="2" t="s">
        <v>247</v>
      </c>
      <c r="B306" s="2" t="s">
        <v>211</v>
      </c>
      <c r="C306" s="2" t="s">
        <v>216</v>
      </c>
      <c r="D306" s="2" t="n">
        <v>1830</v>
      </c>
      <c r="E306" s="2" t="n">
        <v>0</v>
      </c>
      <c r="F306" s="2" t="n">
        <v>0</v>
      </c>
      <c r="G306" s="2" t="n">
        <v>2085</v>
      </c>
      <c r="H306" s="2" t="n">
        <v>849</v>
      </c>
      <c r="I306" s="2" t="n">
        <v>1721</v>
      </c>
      <c r="J306" s="2" t="n">
        <v>1053</v>
      </c>
      <c r="K306" s="2" t="n">
        <v>6203</v>
      </c>
      <c r="L306" s="2" t="n">
        <v>0</v>
      </c>
      <c r="M306" s="2" t="n">
        <v>210</v>
      </c>
      <c r="N306" s="2" t="n">
        <v>118</v>
      </c>
      <c r="O306" s="2" t="n">
        <v>3712</v>
      </c>
      <c r="Q306" s="2" t="n">
        <f aca="false">F306+G306+H306</f>
        <v>2934</v>
      </c>
    </row>
    <row r="307" customFormat="false" ht="12.8" hidden="false" customHeight="false" outlineLevel="0" collapsed="false">
      <c r="A307" s="2" t="s">
        <v>247</v>
      </c>
      <c r="B307" s="2" t="s">
        <v>211</v>
      </c>
      <c r="C307" s="2" t="s">
        <v>217</v>
      </c>
      <c r="D307" s="2" t="n">
        <v>2342</v>
      </c>
      <c r="E307" s="2" t="n">
        <v>0</v>
      </c>
      <c r="F307" s="2" t="n">
        <v>0</v>
      </c>
      <c r="G307" s="2" t="n">
        <v>2068</v>
      </c>
      <c r="H307" s="2" t="n">
        <v>677</v>
      </c>
      <c r="I307" s="2" t="n">
        <v>1922</v>
      </c>
      <c r="J307" s="2" t="n">
        <v>748</v>
      </c>
      <c r="K307" s="2" t="n">
        <v>6002</v>
      </c>
      <c r="L307" s="2" t="n">
        <v>0</v>
      </c>
      <c r="M307" s="2" t="n">
        <v>233</v>
      </c>
      <c r="N307" s="2" t="n">
        <v>113</v>
      </c>
      <c r="O307" s="2" t="n">
        <v>3912</v>
      </c>
      <c r="Q307" s="2" t="n">
        <f aca="false">F307+G307+H307</f>
        <v>2745</v>
      </c>
    </row>
    <row r="308" customFormat="false" ht="12.8" hidden="false" customHeight="false" outlineLevel="0" collapsed="false">
      <c r="A308" s="2" t="s">
        <v>247</v>
      </c>
      <c r="B308" s="2" t="s">
        <v>211</v>
      </c>
      <c r="C308" s="2" t="s">
        <v>218</v>
      </c>
      <c r="D308" s="2" t="n">
        <v>2396</v>
      </c>
      <c r="E308" s="2" t="n">
        <v>0</v>
      </c>
      <c r="F308" s="2" t="n">
        <v>0</v>
      </c>
      <c r="G308" s="2" t="n">
        <v>2181</v>
      </c>
      <c r="H308" s="2" t="n">
        <v>704</v>
      </c>
      <c r="I308" s="2" t="n">
        <v>1997</v>
      </c>
      <c r="J308" s="2" t="n">
        <v>800</v>
      </c>
      <c r="K308" s="2" t="n">
        <v>6326</v>
      </c>
      <c r="L308" s="2" t="n">
        <v>0</v>
      </c>
      <c r="M308" s="2" t="n">
        <v>273</v>
      </c>
      <c r="N308" s="2" t="n">
        <v>73</v>
      </c>
      <c r="O308" s="2" t="n">
        <v>3524</v>
      </c>
      <c r="Q308" s="2" t="n">
        <f aca="false">F308+G308+H308</f>
        <v>2885</v>
      </c>
    </row>
    <row r="309" customFormat="false" ht="12.8" hidden="false" customHeight="false" outlineLevel="0" collapsed="false">
      <c r="A309" s="2" t="s">
        <v>247</v>
      </c>
      <c r="B309" s="2" t="s">
        <v>211</v>
      </c>
      <c r="C309" s="2" t="s">
        <v>219</v>
      </c>
      <c r="D309" s="2" t="n">
        <v>1945</v>
      </c>
      <c r="E309" s="2" t="n">
        <v>0</v>
      </c>
      <c r="F309" s="2" t="n">
        <v>0</v>
      </c>
      <c r="G309" s="2" t="n">
        <v>1849</v>
      </c>
      <c r="H309" s="2" t="n">
        <v>634</v>
      </c>
      <c r="I309" s="2" t="n">
        <v>1688</v>
      </c>
      <c r="J309" s="2" t="n">
        <v>742</v>
      </c>
      <c r="K309" s="2" t="n">
        <v>5522</v>
      </c>
      <c r="L309" s="2" t="n">
        <v>0</v>
      </c>
      <c r="M309" s="2" t="n">
        <v>181</v>
      </c>
      <c r="N309" s="2" t="n">
        <v>89</v>
      </c>
      <c r="O309" s="2" t="n">
        <v>3388</v>
      </c>
      <c r="Q309" s="2" t="n">
        <f aca="false">F309+G309+H309</f>
        <v>2483</v>
      </c>
    </row>
    <row r="310" customFormat="false" ht="12.8" hidden="false" customHeight="false" outlineLevel="0" collapsed="false">
      <c r="A310" s="2" t="s">
        <v>247</v>
      </c>
      <c r="B310" s="2" t="s">
        <v>211</v>
      </c>
      <c r="C310" s="2" t="s">
        <v>220</v>
      </c>
      <c r="D310" s="2" t="n">
        <v>2073</v>
      </c>
      <c r="E310" s="2" t="n">
        <v>0</v>
      </c>
      <c r="F310" s="2" t="n">
        <v>0</v>
      </c>
      <c r="G310" s="2" t="n">
        <v>1984</v>
      </c>
      <c r="H310" s="2" t="n">
        <v>673</v>
      </c>
      <c r="I310" s="2" t="n">
        <v>1687</v>
      </c>
      <c r="J310" s="2" t="n">
        <v>889</v>
      </c>
      <c r="K310" s="2" t="n">
        <v>5924</v>
      </c>
      <c r="L310" s="2" t="n">
        <v>0</v>
      </c>
      <c r="M310" s="2" t="n">
        <v>125</v>
      </c>
      <c r="N310" s="2" t="n">
        <v>92</v>
      </c>
      <c r="O310" s="2" t="n">
        <v>3639</v>
      </c>
      <c r="Q310" s="2" t="n">
        <f aca="false">F310+G310+H310</f>
        <v>2657</v>
      </c>
    </row>
    <row r="311" customFormat="false" ht="12.8" hidden="false" customHeight="false" outlineLevel="0" collapsed="false">
      <c r="A311" s="2" t="s">
        <v>247</v>
      </c>
      <c r="B311" s="2" t="s">
        <v>211</v>
      </c>
      <c r="C311" s="2" t="s">
        <v>221</v>
      </c>
      <c r="D311" s="2" t="n">
        <v>1789</v>
      </c>
      <c r="E311" s="2" t="n">
        <v>0</v>
      </c>
      <c r="F311" s="2" t="n">
        <v>0</v>
      </c>
      <c r="G311" s="2" t="n">
        <v>1732</v>
      </c>
      <c r="H311" s="2" t="n">
        <v>662</v>
      </c>
      <c r="I311" s="2" t="n">
        <v>1611</v>
      </c>
      <c r="J311" s="2" t="n">
        <v>746</v>
      </c>
      <c r="K311" s="2" t="n">
        <v>5257</v>
      </c>
      <c r="L311" s="2" t="n">
        <v>0</v>
      </c>
      <c r="M311" s="2" t="n">
        <v>154</v>
      </c>
      <c r="N311" s="2" t="n">
        <v>119</v>
      </c>
      <c r="O311" s="2" t="n">
        <v>3210</v>
      </c>
      <c r="Q311" s="2" t="n">
        <f aca="false">F311+G311+H311</f>
        <v>2394</v>
      </c>
    </row>
    <row r="312" customFormat="false" ht="12.8" hidden="false" customHeight="false" outlineLevel="0" collapsed="false">
      <c r="A312" s="2" t="s">
        <v>247</v>
      </c>
      <c r="B312" s="2" t="s">
        <v>211</v>
      </c>
      <c r="C312" s="2" t="s">
        <v>222</v>
      </c>
      <c r="D312" s="2" t="n">
        <v>1840</v>
      </c>
      <c r="E312" s="2" t="n">
        <v>0</v>
      </c>
      <c r="F312" s="2" t="n">
        <v>0</v>
      </c>
      <c r="G312" s="2" t="n">
        <v>1944</v>
      </c>
      <c r="H312" s="2" t="n">
        <v>833</v>
      </c>
      <c r="I312" s="2" t="n">
        <v>1511</v>
      </c>
      <c r="J312" s="2" t="n">
        <v>840</v>
      </c>
      <c r="K312" s="2" t="n">
        <v>5622</v>
      </c>
      <c r="L312" s="2" t="n">
        <v>0</v>
      </c>
      <c r="M312" s="2" t="n">
        <v>324</v>
      </c>
      <c r="N312" s="2" t="n">
        <v>124</v>
      </c>
      <c r="O312" s="2" t="n">
        <v>3454</v>
      </c>
      <c r="Q312" s="2" t="n">
        <f aca="false">F312+G312+H312</f>
        <v>2777</v>
      </c>
    </row>
    <row r="313" customFormat="false" ht="12.8" hidden="false" customHeight="false" outlineLevel="0" collapsed="false">
      <c r="A313" s="2" t="s">
        <v>247</v>
      </c>
      <c r="B313" s="2" t="s">
        <v>211</v>
      </c>
      <c r="C313" s="2" t="s">
        <v>223</v>
      </c>
      <c r="D313" s="2" t="n">
        <v>2012</v>
      </c>
      <c r="E313" s="2" t="n">
        <v>0</v>
      </c>
      <c r="F313" s="2" t="n">
        <v>0</v>
      </c>
      <c r="G313" s="2" t="n">
        <v>2062</v>
      </c>
      <c r="H313" s="2" t="n">
        <v>833</v>
      </c>
      <c r="I313" s="2" t="n">
        <v>1617</v>
      </c>
      <c r="J313" s="2" t="n">
        <v>1053</v>
      </c>
      <c r="K313" s="2" t="n">
        <v>6216</v>
      </c>
      <c r="L313" s="2" t="n">
        <v>0</v>
      </c>
      <c r="M313" s="2" t="n">
        <v>223</v>
      </c>
      <c r="N313" s="2" t="n">
        <v>106</v>
      </c>
      <c r="O313" s="2" t="n">
        <v>3791</v>
      </c>
      <c r="Q313" s="2" t="n">
        <f aca="false">F313+G313+H313</f>
        <v>2895</v>
      </c>
    </row>
    <row r="314" customFormat="false" ht="12.8" hidden="false" customHeight="false" outlineLevel="0" collapsed="false">
      <c r="A314" s="2" t="s">
        <v>247</v>
      </c>
      <c r="B314" s="2" t="s">
        <v>211</v>
      </c>
      <c r="C314" s="2" t="s">
        <v>224</v>
      </c>
      <c r="D314" s="2" t="n">
        <v>1995</v>
      </c>
      <c r="E314" s="2" t="n">
        <v>0</v>
      </c>
      <c r="F314" s="2" t="n">
        <v>0</v>
      </c>
      <c r="G314" s="2" t="n">
        <v>2137</v>
      </c>
      <c r="H314" s="2" t="n">
        <v>832</v>
      </c>
      <c r="I314" s="2" t="n">
        <v>1559</v>
      </c>
      <c r="J314" s="2" t="n">
        <v>1156</v>
      </c>
      <c r="K314" s="2" t="n">
        <v>6194</v>
      </c>
      <c r="L314" s="2" t="n">
        <v>0</v>
      </c>
      <c r="M314" s="2" t="n">
        <v>178</v>
      </c>
      <c r="N314" s="2" t="n">
        <v>143</v>
      </c>
      <c r="O314" s="2" t="n">
        <v>3851</v>
      </c>
      <c r="Q314" s="2" t="n">
        <f aca="false">F314+G314+H314</f>
        <v>2969</v>
      </c>
    </row>
    <row r="315" customFormat="false" ht="12.8" hidden="false" customHeight="false" outlineLevel="0" collapsed="false">
      <c r="A315" s="2" t="s">
        <v>248</v>
      </c>
      <c r="B315" s="2" t="s">
        <v>211</v>
      </c>
      <c r="C315" s="2" t="s">
        <v>212</v>
      </c>
      <c r="D315" s="2" t="n">
        <v>739</v>
      </c>
      <c r="E315" s="2" t="n">
        <v>0</v>
      </c>
      <c r="F315" s="2" t="n">
        <v>0</v>
      </c>
      <c r="G315" s="2" t="n">
        <v>710</v>
      </c>
      <c r="H315" s="2" t="n">
        <v>213</v>
      </c>
      <c r="I315" s="2" t="n">
        <v>607</v>
      </c>
      <c r="J315" s="2" t="n">
        <v>321</v>
      </c>
      <c r="K315" s="2" t="n">
        <v>1874</v>
      </c>
      <c r="L315" s="2" t="n">
        <v>0</v>
      </c>
      <c r="M315" s="2" t="n">
        <v>34</v>
      </c>
      <c r="N315" s="2" t="n">
        <v>86</v>
      </c>
      <c r="O315" s="2" t="n">
        <v>780</v>
      </c>
      <c r="Q315" s="2" t="n">
        <f aca="false">F315+G315+H315</f>
        <v>923</v>
      </c>
    </row>
    <row r="316" customFormat="false" ht="12.8" hidden="false" customHeight="false" outlineLevel="0" collapsed="false">
      <c r="A316" s="2" t="s">
        <v>248</v>
      </c>
      <c r="B316" s="2" t="s">
        <v>211</v>
      </c>
      <c r="C316" s="2" t="s">
        <v>213</v>
      </c>
      <c r="D316" s="2" t="n">
        <v>1167</v>
      </c>
      <c r="E316" s="2" t="n">
        <v>0</v>
      </c>
      <c r="F316" s="2" t="n">
        <v>92</v>
      </c>
      <c r="G316" s="2" t="n">
        <v>1367</v>
      </c>
      <c r="H316" s="2" t="n">
        <v>285</v>
      </c>
      <c r="I316" s="2" t="n">
        <v>1142</v>
      </c>
      <c r="J316" s="2" t="n">
        <v>573</v>
      </c>
      <c r="K316" s="2" t="n">
        <v>3303</v>
      </c>
      <c r="L316" s="2" t="n">
        <v>0</v>
      </c>
      <c r="M316" s="2" t="n">
        <v>41</v>
      </c>
      <c r="N316" s="2" t="n">
        <v>184</v>
      </c>
      <c r="O316" s="2" t="n">
        <v>1819</v>
      </c>
      <c r="Q316" s="2" t="n">
        <f aca="false">F316+G316+H316</f>
        <v>1744</v>
      </c>
    </row>
    <row r="317" customFormat="false" ht="12.8" hidden="false" customHeight="false" outlineLevel="0" collapsed="false">
      <c r="A317" s="2" t="s">
        <v>248</v>
      </c>
      <c r="B317" s="2" t="s">
        <v>211</v>
      </c>
      <c r="C317" s="2" t="s">
        <v>214</v>
      </c>
      <c r="D317" s="2" t="n">
        <v>1262</v>
      </c>
      <c r="E317" s="2" t="n">
        <v>0</v>
      </c>
      <c r="F317" s="2" t="n">
        <v>280</v>
      </c>
      <c r="G317" s="2" t="n">
        <v>1322</v>
      </c>
      <c r="H317" s="2" t="n">
        <v>304</v>
      </c>
      <c r="I317" s="2" t="n">
        <v>1128</v>
      </c>
      <c r="J317" s="2" t="n">
        <v>768</v>
      </c>
      <c r="K317" s="2" t="n">
        <v>3473</v>
      </c>
      <c r="L317" s="2" t="n">
        <v>0</v>
      </c>
      <c r="M317" s="2" t="n">
        <v>55</v>
      </c>
      <c r="N317" s="2" t="n">
        <v>181</v>
      </c>
      <c r="O317" s="2" t="n">
        <v>1432</v>
      </c>
      <c r="Q317" s="2" t="n">
        <f aca="false">F317+G317+H317</f>
        <v>1906</v>
      </c>
    </row>
    <row r="318" customFormat="false" ht="12.8" hidden="false" customHeight="false" outlineLevel="0" collapsed="false">
      <c r="A318" s="2" t="s">
        <v>248</v>
      </c>
      <c r="B318" s="2" t="s">
        <v>211</v>
      </c>
      <c r="C318" s="2" t="s">
        <v>215</v>
      </c>
      <c r="D318" s="2" t="n">
        <v>1266</v>
      </c>
      <c r="E318" s="2" t="n">
        <v>0</v>
      </c>
      <c r="F318" s="2" t="n">
        <v>254</v>
      </c>
      <c r="G318" s="2" t="n">
        <v>1422</v>
      </c>
      <c r="H318" s="2" t="n">
        <v>308</v>
      </c>
      <c r="I318" s="2" t="n">
        <v>1163</v>
      </c>
      <c r="J318" s="2" t="n">
        <v>752</v>
      </c>
      <c r="K318" s="2" t="n">
        <v>3482</v>
      </c>
      <c r="L318" s="2" t="n">
        <v>0</v>
      </c>
      <c r="M318" s="2" t="n">
        <v>60</v>
      </c>
      <c r="N318" s="2" t="n">
        <v>206</v>
      </c>
      <c r="O318" s="2" t="n">
        <v>1238</v>
      </c>
      <c r="Q318" s="2" t="n">
        <f aca="false">F318+G318+H318</f>
        <v>1984</v>
      </c>
    </row>
    <row r="319" customFormat="false" ht="12.8" hidden="false" customHeight="false" outlineLevel="0" collapsed="false">
      <c r="A319" s="2" t="s">
        <v>248</v>
      </c>
      <c r="B319" s="2" t="s">
        <v>211</v>
      </c>
      <c r="C319" s="2" t="s">
        <v>216</v>
      </c>
      <c r="D319" s="2" t="n">
        <v>1433</v>
      </c>
      <c r="E319" s="2" t="n">
        <v>0</v>
      </c>
      <c r="F319" s="2" t="n">
        <v>284</v>
      </c>
      <c r="G319" s="2" t="n">
        <v>1674</v>
      </c>
      <c r="H319" s="2" t="n">
        <v>351</v>
      </c>
      <c r="I319" s="2" t="n">
        <v>1396</v>
      </c>
      <c r="J319" s="2" t="n">
        <v>851</v>
      </c>
      <c r="K319" s="2" t="n">
        <v>4166</v>
      </c>
      <c r="L319" s="2" t="n">
        <v>0</v>
      </c>
      <c r="M319" s="2" t="n">
        <v>69</v>
      </c>
      <c r="N319" s="2" t="n">
        <v>259</v>
      </c>
      <c r="O319" s="2" t="n">
        <v>1856</v>
      </c>
      <c r="Q319" s="2" t="n">
        <f aca="false">F319+G319+H319</f>
        <v>2309</v>
      </c>
    </row>
    <row r="320" customFormat="false" ht="12.8" hidden="false" customHeight="false" outlineLevel="0" collapsed="false">
      <c r="A320" s="2" t="s">
        <v>248</v>
      </c>
      <c r="B320" s="2" t="s">
        <v>211</v>
      </c>
      <c r="C320" s="2" t="s">
        <v>217</v>
      </c>
      <c r="D320" s="2" t="n">
        <v>651</v>
      </c>
      <c r="E320" s="2" t="n">
        <v>0</v>
      </c>
      <c r="F320" s="2" t="n">
        <v>0</v>
      </c>
      <c r="G320" s="2" t="n">
        <v>686</v>
      </c>
      <c r="H320" s="2" t="n">
        <v>146</v>
      </c>
      <c r="I320" s="2" t="n">
        <v>583</v>
      </c>
      <c r="J320" s="2" t="n">
        <v>260</v>
      </c>
      <c r="K320" s="2" t="n">
        <v>1697</v>
      </c>
      <c r="L320" s="2" t="n">
        <v>0</v>
      </c>
      <c r="M320" s="2" t="n">
        <v>103</v>
      </c>
      <c r="N320" s="2" t="n">
        <v>70</v>
      </c>
      <c r="O320" s="2" t="n">
        <v>746</v>
      </c>
      <c r="Q320" s="2" t="n">
        <f aca="false">F320+G320+H320</f>
        <v>832</v>
      </c>
    </row>
    <row r="321" customFormat="false" ht="12.8" hidden="false" customHeight="false" outlineLevel="0" collapsed="false">
      <c r="A321" s="2" t="s">
        <v>248</v>
      </c>
      <c r="B321" s="2" t="s">
        <v>211</v>
      </c>
      <c r="C321" s="2" t="s">
        <v>218</v>
      </c>
      <c r="D321" s="2" t="n">
        <v>750</v>
      </c>
      <c r="E321" s="2" t="n">
        <v>0</v>
      </c>
      <c r="F321" s="2" t="n">
        <v>0</v>
      </c>
      <c r="G321" s="2" t="n">
        <v>766</v>
      </c>
      <c r="H321" s="2" t="n">
        <v>215</v>
      </c>
      <c r="I321" s="2" t="n">
        <v>745</v>
      </c>
      <c r="J321" s="2" t="n">
        <v>213</v>
      </c>
      <c r="K321" s="2" t="n">
        <v>2011</v>
      </c>
      <c r="L321" s="2" t="n">
        <v>0</v>
      </c>
      <c r="M321" s="2" t="n">
        <v>133</v>
      </c>
      <c r="N321" s="2" t="n">
        <v>84</v>
      </c>
      <c r="O321" s="2" t="n">
        <v>967</v>
      </c>
      <c r="Q321" s="2" t="n">
        <f aca="false">F321+G321+H321</f>
        <v>981</v>
      </c>
    </row>
    <row r="322" customFormat="false" ht="12.8" hidden="false" customHeight="false" outlineLevel="0" collapsed="false">
      <c r="A322" s="2" t="s">
        <v>248</v>
      </c>
      <c r="B322" s="2" t="s">
        <v>211</v>
      </c>
      <c r="C322" s="2" t="s">
        <v>219</v>
      </c>
      <c r="D322" s="2" t="n">
        <v>839</v>
      </c>
      <c r="E322" s="2" t="n">
        <v>0</v>
      </c>
      <c r="F322" s="2" t="n">
        <v>0</v>
      </c>
      <c r="G322" s="2" t="n">
        <v>851</v>
      </c>
      <c r="H322" s="2" t="n">
        <v>277</v>
      </c>
      <c r="I322" s="2" t="n">
        <v>794</v>
      </c>
      <c r="J322" s="2" t="n">
        <v>331</v>
      </c>
      <c r="K322" s="2" t="n">
        <v>2284</v>
      </c>
      <c r="L322" s="2" t="n">
        <v>0</v>
      </c>
      <c r="M322" s="2" t="n">
        <v>112</v>
      </c>
      <c r="N322" s="2" t="n">
        <v>100</v>
      </c>
      <c r="O322" s="2" t="n">
        <v>1213</v>
      </c>
      <c r="Q322" s="2" t="n">
        <f aca="false">F322+G322+H322</f>
        <v>1128</v>
      </c>
    </row>
    <row r="323" customFormat="false" ht="12.8" hidden="false" customHeight="false" outlineLevel="0" collapsed="false">
      <c r="A323" s="2" t="s">
        <v>248</v>
      </c>
      <c r="B323" s="2" t="s">
        <v>211</v>
      </c>
      <c r="C323" s="2" t="s">
        <v>220</v>
      </c>
      <c r="D323" s="2" t="n">
        <v>786</v>
      </c>
      <c r="E323" s="2" t="n">
        <v>0</v>
      </c>
      <c r="F323" s="2" t="n">
        <v>0</v>
      </c>
      <c r="G323" s="2" t="n">
        <v>836</v>
      </c>
      <c r="H323" s="2" t="n">
        <v>223</v>
      </c>
      <c r="I323" s="2" t="n">
        <v>781</v>
      </c>
      <c r="J323" s="2" t="n">
        <v>268</v>
      </c>
      <c r="K323" s="2" t="n">
        <v>2083</v>
      </c>
      <c r="L323" s="2" t="n">
        <v>0</v>
      </c>
      <c r="M323" s="2" t="n">
        <v>127</v>
      </c>
      <c r="N323" s="2" t="n">
        <v>94</v>
      </c>
      <c r="O323" s="2" t="n">
        <v>1127</v>
      </c>
      <c r="Q323" s="2" t="n">
        <f aca="false">F323+G323+H323</f>
        <v>1059</v>
      </c>
    </row>
    <row r="324" customFormat="false" ht="12.8" hidden="false" customHeight="false" outlineLevel="0" collapsed="false">
      <c r="A324" s="2" t="s">
        <v>248</v>
      </c>
      <c r="B324" s="2" t="s">
        <v>211</v>
      </c>
      <c r="C324" s="2" t="s">
        <v>221</v>
      </c>
      <c r="D324" s="2" t="n">
        <v>953</v>
      </c>
      <c r="E324" s="2" t="n">
        <v>0</v>
      </c>
      <c r="F324" s="2" t="n">
        <v>0</v>
      </c>
      <c r="G324" s="2" t="n">
        <v>977</v>
      </c>
      <c r="H324" s="2" t="n">
        <v>313</v>
      </c>
      <c r="I324" s="2" t="n">
        <v>937</v>
      </c>
      <c r="J324" s="2" t="n">
        <v>304</v>
      </c>
      <c r="K324" s="2" t="n">
        <v>2689</v>
      </c>
      <c r="L324" s="2" t="n">
        <v>0</v>
      </c>
      <c r="M324" s="2" t="n">
        <v>64</v>
      </c>
      <c r="N324" s="2" t="n">
        <v>79</v>
      </c>
      <c r="O324" s="2" t="n">
        <v>1213</v>
      </c>
      <c r="Q324" s="2" t="n">
        <f aca="false">F324+G324+H324</f>
        <v>1290</v>
      </c>
    </row>
    <row r="325" customFormat="false" ht="12.8" hidden="false" customHeight="false" outlineLevel="0" collapsed="false">
      <c r="A325" s="2" t="s">
        <v>248</v>
      </c>
      <c r="B325" s="2" t="s">
        <v>211</v>
      </c>
      <c r="C325" s="2" t="s">
        <v>222</v>
      </c>
      <c r="D325" s="2" t="n">
        <v>901</v>
      </c>
      <c r="E325" s="2" t="n">
        <v>0</v>
      </c>
      <c r="F325" s="2" t="n">
        <v>43</v>
      </c>
      <c r="G325" s="2" t="n">
        <v>921</v>
      </c>
      <c r="H325" s="2" t="n">
        <v>295</v>
      </c>
      <c r="I325" s="2" t="n">
        <v>820</v>
      </c>
      <c r="J325" s="2" t="n">
        <v>360</v>
      </c>
      <c r="K325" s="2" t="n">
        <v>2423</v>
      </c>
      <c r="L325" s="2" t="n">
        <v>0</v>
      </c>
      <c r="M325" s="2" t="n">
        <v>59</v>
      </c>
      <c r="N325" s="2" t="n">
        <v>82</v>
      </c>
      <c r="O325" s="2" t="n">
        <v>1138</v>
      </c>
      <c r="Q325" s="2" t="n">
        <f aca="false">F325+G325+H325</f>
        <v>1259</v>
      </c>
    </row>
    <row r="326" customFormat="false" ht="12.8" hidden="false" customHeight="false" outlineLevel="0" collapsed="false">
      <c r="A326" s="2" t="s">
        <v>248</v>
      </c>
      <c r="B326" s="2" t="s">
        <v>211</v>
      </c>
      <c r="C326" s="2" t="s">
        <v>223</v>
      </c>
      <c r="D326" s="2" t="n">
        <v>1129</v>
      </c>
      <c r="E326" s="2" t="n">
        <v>0</v>
      </c>
      <c r="F326" s="2" t="n">
        <v>131</v>
      </c>
      <c r="G326" s="2" t="n">
        <v>1083</v>
      </c>
      <c r="H326" s="2" t="n">
        <v>333</v>
      </c>
      <c r="I326" s="2" t="n">
        <v>992</v>
      </c>
      <c r="J326" s="2" t="n">
        <v>390</v>
      </c>
      <c r="K326" s="2" t="n">
        <v>2967</v>
      </c>
      <c r="L326" s="2" t="n">
        <v>0</v>
      </c>
      <c r="M326" s="2" t="n">
        <v>58</v>
      </c>
      <c r="N326" s="2" t="n">
        <v>114</v>
      </c>
      <c r="O326" s="2" t="n">
        <v>1438</v>
      </c>
      <c r="Q326" s="2" t="n">
        <f aca="false">F326+G326+H326</f>
        <v>1547</v>
      </c>
    </row>
    <row r="327" customFormat="false" ht="12.8" hidden="false" customHeight="false" outlineLevel="0" collapsed="false">
      <c r="A327" s="2" t="s">
        <v>248</v>
      </c>
      <c r="B327" s="2" t="s">
        <v>211</v>
      </c>
      <c r="C327" s="2" t="s">
        <v>224</v>
      </c>
      <c r="D327" s="2" t="n">
        <v>938</v>
      </c>
      <c r="E327" s="2" t="n">
        <v>0</v>
      </c>
      <c r="F327" s="2" t="n">
        <v>106</v>
      </c>
      <c r="G327" s="2" t="n">
        <v>1070</v>
      </c>
      <c r="H327" s="2" t="n">
        <v>305</v>
      </c>
      <c r="I327" s="2" t="n">
        <v>912</v>
      </c>
      <c r="J327" s="2" t="n">
        <v>438</v>
      </c>
      <c r="K327" s="2" t="n">
        <v>2745</v>
      </c>
      <c r="L327" s="2" t="n">
        <v>0</v>
      </c>
      <c r="M327" s="2" t="n">
        <v>78</v>
      </c>
      <c r="N327" s="2" t="n">
        <v>169</v>
      </c>
      <c r="O327" s="2" t="n">
        <v>1255</v>
      </c>
      <c r="Q327" s="2" t="n">
        <f aca="false">F327+G327+H327</f>
        <v>1481</v>
      </c>
    </row>
    <row r="328" customFormat="false" ht="12.8" hidden="false" customHeight="false" outlineLevel="0" collapsed="false">
      <c r="A328" s="2" t="s">
        <v>249</v>
      </c>
      <c r="B328" s="2" t="s">
        <v>211</v>
      </c>
      <c r="C328" s="2" t="s">
        <v>212</v>
      </c>
      <c r="D328" s="2" t="n">
        <v>1501</v>
      </c>
      <c r="E328" s="2" t="n">
        <v>0</v>
      </c>
      <c r="F328" s="2" t="n">
        <v>0</v>
      </c>
      <c r="G328" s="2" t="n">
        <v>1164</v>
      </c>
      <c r="H328" s="2" t="n">
        <v>683</v>
      </c>
      <c r="I328" s="2" t="n">
        <v>990</v>
      </c>
      <c r="J328" s="2" t="n">
        <v>873</v>
      </c>
      <c r="K328" s="2" t="n">
        <v>2864</v>
      </c>
      <c r="L328" s="2" t="n">
        <v>0</v>
      </c>
      <c r="M328" s="2" t="n">
        <v>224</v>
      </c>
      <c r="N328" s="2" t="n">
        <v>241</v>
      </c>
      <c r="O328" s="2" t="n">
        <v>1563</v>
      </c>
      <c r="Q328" s="2" t="n">
        <f aca="false">F328+G328+H328</f>
        <v>1847</v>
      </c>
    </row>
    <row r="329" customFormat="false" ht="12.8" hidden="false" customHeight="false" outlineLevel="0" collapsed="false">
      <c r="A329" s="2" t="s">
        <v>249</v>
      </c>
      <c r="B329" s="2" t="s">
        <v>211</v>
      </c>
      <c r="C329" s="2" t="s">
        <v>213</v>
      </c>
      <c r="D329" s="2" t="n">
        <v>1220</v>
      </c>
      <c r="E329" s="2" t="n">
        <v>0</v>
      </c>
      <c r="F329" s="2" t="n">
        <v>0</v>
      </c>
      <c r="G329" s="2" t="n">
        <v>1222</v>
      </c>
      <c r="H329" s="2" t="n">
        <v>700</v>
      </c>
      <c r="I329" s="2" t="n">
        <v>1149</v>
      </c>
      <c r="J329" s="2" t="n">
        <v>790</v>
      </c>
      <c r="K329" s="2" t="n">
        <v>3553</v>
      </c>
      <c r="L329" s="2" t="n">
        <v>0</v>
      </c>
      <c r="M329" s="2" t="n">
        <v>110</v>
      </c>
      <c r="N329" s="2" t="n">
        <v>192</v>
      </c>
      <c r="O329" s="2" t="n">
        <v>2145</v>
      </c>
      <c r="Q329" s="2" t="n">
        <f aca="false">F329+G329+H329</f>
        <v>1922</v>
      </c>
    </row>
    <row r="330" customFormat="false" ht="12.8" hidden="false" customHeight="false" outlineLevel="0" collapsed="false">
      <c r="A330" s="2" t="s">
        <v>249</v>
      </c>
      <c r="B330" s="2" t="s">
        <v>211</v>
      </c>
      <c r="C330" s="2" t="s">
        <v>214</v>
      </c>
      <c r="D330" s="2" t="n">
        <v>1157</v>
      </c>
      <c r="E330" s="2" t="n">
        <v>0</v>
      </c>
      <c r="F330" s="2" t="n">
        <v>0</v>
      </c>
      <c r="G330" s="2" t="n">
        <v>1208</v>
      </c>
      <c r="H330" s="2" t="n">
        <v>711</v>
      </c>
      <c r="I330" s="2" t="n">
        <v>1117</v>
      </c>
      <c r="J330" s="2" t="n">
        <v>800</v>
      </c>
      <c r="K330" s="2" t="n">
        <v>3488</v>
      </c>
      <c r="L330" s="2" t="n">
        <v>0</v>
      </c>
      <c r="M330" s="2" t="n">
        <v>116</v>
      </c>
      <c r="N330" s="2" t="n">
        <v>192</v>
      </c>
      <c r="O330" s="2" t="n">
        <v>1775</v>
      </c>
      <c r="Q330" s="2" t="n">
        <f aca="false">F330+G330+H330</f>
        <v>1919</v>
      </c>
    </row>
    <row r="331" customFormat="false" ht="12.8" hidden="false" customHeight="false" outlineLevel="0" collapsed="false">
      <c r="A331" s="2" t="s">
        <v>249</v>
      </c>
      <c r="B331" s="2" t="s">
        <v>211</v>
      </c>
      <c r="C331" s="2" t="s">
        <v>215</v>
      </c>
      <c r="D331" s="2" t="n">
        <v>1174</v>
      </c>
      <c r="E331" s="2" t="n">
        <v>0</v>
      </c>
      <c r="F331" s="2" t="n">
        <v>0</v>
      </c>
      <c r="G331" s="2" t="n">
        <v>1297</v>
      </c>
      <c r="H331" s="2" t="n">
        <v>666</v>
      </c>
      <c r="I331" s="2" t="n">
        <v>1216</v>
      </c>
      <c r="J331" s="2" t="n">
        <v>756</v>
      </c>
      <c r="K331" s="2" t="n">
        <v>3640</v>
      </c>
      <c r="L331" s="2" t="n">
        <v>0</v>
      </c>
      <c r="M331" s="2" t="n">
        <v>92</v>
      </c>
      <c r="N331" s="2" t="n">
        <v>150</v>
      </c>
      <c r="O331" s="2" t="n">
        <v>1898</v>
      </c>
      <c r="Q331" s="2" t="n">
        <f aca="false">F331+G331+H331</f>
        <v>1963</v>
      </c>
    </row>
    <row r="332" customFormat="false" ht="12.8" hidden="false" customHeight="false" outlineLevel="0" collapsed="false">
      <c r="A332" s="2" t="s">
        <v>249</v>
      </c>
      <c r="B332" s="2" t="s">
        <v>211</v>
      </c>
      <c r="C332" s="2" t="s">
        <v>216</v>
      </c>
      <c r="D332" s="2" t="n">
        <v>1293</v>
      </c>
      <c r="E332" s="2" t="n">
        <v>0</v>
      </c>
      <c r="F332" s="2" t="n">
        <v>0</v>
      </c>
      <c r="G332" s="2" t="n">
        <v>1479</v>
      </c>
      <c r="H332" s="2" t="n">
        <v>820</v>
      </c>
      <c r="I332" s="2" t="n">
        <v>1512</v>
      </c>
      <c r="J332" s="2" t="n">
        <v>809</v>
      </c>
      <c r="K332" s="2" t="n">
        <v>4093</v>
      </c>
      <c r="L332" s="2" t="n">
        <v>0</v>
      </c>
      <c r="M332" s="2" t="n">
        <v>87</v>
      </c>
      <c r="N332" s="2" t="n">
        <v>257</v>
      </c>
      <c r="O332" s="2" t="n">
        <v>2325</v>
      </c>
      <c r="Q332" s="2" t="n">
        <f aca="false">F332+G332+H332</f>
        <v>2299</v>
      </c>
    </row>
    <row r="333" customFormat="false" ht="12.8" hidden="false" customHeight="false" outlineLevel="0" collapsed="false">
      <c r="A333" s="2" t="s">
        <v>249</v>
      </c>
      <c r="B333" s="2" t="s">
        <v>211</v>
      </c>
      <c r="C333" s="2" t="s">
        <v>217</v>
      </c>
      <c r="D333" s="2" t="n">
        <v>1499</v>
      </c>
      <c r="E333" s="2" t="n">
        <v>0</v>
      </c>
      <c r="F333" s="2" t="n">
        <v>0</v>
      </c>
      <c r="G333" s="2" t="n">
        <v>1235</v>
      </c>
      <c r="H333" s="2" t="n">
        <v>711</v>
      </c>
      <c r="I333" s="2" t="n">
        <v>1058</v>
      </c>
      <c r="J333" s="2" t="n">
        <v>865</v>
      </c>
      <c r="K333" s="2" t="n">
        <v>3375</v>
      </c>
      <c r="L333" s="2" t="n">
        <v>0</v>
      </c>
      <c r="M333" s="2" t="n">
        <v>331</v>
      </c>
      <c r="N333" s="2" t="n">
        <v>225</v>
      </c>
      <c r="O333" s="2" t="n">
        <v>1823</v>
      </c>
      <c r="Q333" s="2" t="n">
        <f aca="false">F333+G333+H333</f>
        <v>1946</v>
      </c>
    </row>
    <row r="334" customFormat="false" ht="12.8" hidden="false" customHeight="false" outlineLevel="0" collapsed="false">
      <c r="A334" s="2" t="s">
        <v>249</v>
      </c>
      <c r="B334" s="2" t="s">
        <v>211</v>
      </c>
      <c r="C334" s="2" t="s">
        <v>218</v>
      </c>
      <c r="D334" s="2" t="n">
        <v>1348</v>
      </c>
      <c r="E334" s="2" t="n">
        <v>0</v>
      </c>
      <c r="F334" s="2" t="n">
        <v>0</v>
      </c>
      <c r="G334" s="2" t="n">
        <v>1135</v>
      </c>
      <c r="H334" s="2" t="n">
        <v>702</v>
      </c>
      <c r="I334" s="2" t="n">
        <v>1046</v>
      </c>
      <c r="J334" s="2" t="n">
        <v>784</v>
      </c>
      <c r="K334" s="2" t="n">
        <v>3301</v>
      </c>
      <c r="L334" s="2" t="n">
        <v>0</v>
      </c>
      <c r="M334" s="2" t="n">
        <v>141</v>
      </c>
      <c r="N334" s="2" t="n">
        <v>228</v>
      </c>
      <c r="O334" s="2" t="n">
        <v>1571</v>
      </c>
      <c r="Q334" s="2" t="n">
        <f aca="false">F334+G334+H334</f>
        <v>1837</v>
      </c>
    </row>
    <row r="335" customFormat="false" ht="12.8" hidden="false" customHeight="false" outlineLevel="0" collapsed="false">
      <c r="A335" s="2" t="s">
        <v>249</v>
      </c>
      <c r="B335" s="2" t="s">
        <v>211</v>
      </c>
      <c r="C335" s="2" t="s">
        <v>219</v>
      </c>
      <c r="D335" s="2" t="n">
        <v>1260</v>
      </c>
      <c r="E335" s="2" t="n">
        <v>0</v>
      </c>
      <c r="F335" s="2" t="n">
        <v>0</v>
      </c>
      <c r="G335" s="2" t="n">
        <v>1180</v>
      </c>
      <c r="H335" s="2" t="n">
        <v>649</v>
      </c>
      <c r="I335" s="2" t="n">
        <v>1081</v>
      </c>
      <c r="J335" s="2" t="n">
        <v>739</v>
      </c>
      <c r="K335" s="2" t="n">
        <v>3253</v>
      </c>
      <c r="L335" s="2" t="n">
        <v>0</v>
      </c>
      <c r="M335" s="2" t="n">
        <v>168</v>
      </c>
      <c r="N335" s="2" t="n">
        <v>237</v>
      </c>
      <c r="O335" s="2" t="n">
        <v>1765</v>
      </c>
      <c r="Q335" s="2" t="n">
        <f aca="false">F335+G335+H335</f>
        <v>1829</v>
      </c>
    </row>
    <row r="336" customFormat="false" ht="12.8" hidden="false" customHeight="false" outlineLevel="0" collapsed="false">
      <c r="A336" s="2" t="s">
        <v>249</v>
      </c>
      <c r="B336" s="2" t="s">
        <v>211</v>
      </c>
      <c r="C336" s="2" t="s">
        <v>220</v>
      </c>
      <c r="D336" s="2" t="n">
        <v>1178</v>
      </c>
      <c r="E336" s="2" t="n">
        <v>0</v>
      </c>
      <c r="F336" s="2" t="n">
        <v>0</v>
      </c>
      <c r="G336" s="2" t="n">
        <v>1068</v>
      </c>
      <c r="H336" s="2" t="n">
        <v>661</v>
      </c>
      <c r="I336" s="2" t="n">
        <v>1054</v>
      </c>
      <c r="J336" s="2" t="n">
        <v>685</v>
      </c>
      <c r="K336" s="2" t="n">
        <v>3086</v>
      </c>
      <c r="L336" s="2" t="n">
        <v>0</v>
      </c>
      <c r="M336" s="2" t="n">
        <v>104</v>
      </c>
      <c r="N336" s="2" t="n">
        <v>214</v>
      </c>
      <c r="O336" s="2" t="n">
        <v>1731</v>
      </c>
      <c r="Q336" s="2" t="n">
        <f aca="false">F336+G336+H336</f>
        <v>1729</v>
      </c>
    </row>
    <row r="337" customFormat="false" ht="12.8" hidden="false" customHeight="false" outlineLevel="0" collapsed="false">
      <c r="A337" s="2" t="s">
        <v>249</v>
      </c>
      <c r="B337" s="2" t="s">
        <v>211</v>
      </c>
      <c r="C337" s="2" t="s">
        <v>221</v>
      </c>
      <c r="D337" s="2" t="n">
        <v>1042</v>
      </c>
      <c r="E337" s="2" t="n">
        <v>0</v>
      </c>
      <c r="F337" s="2" t="n">
        <v>0</v>
      </c>
      <c r="G337" s="2" t="n">
        <v>994</v>
      </c>
      <c r="H337" s="2" t="n">
        <v>602</v>
      </c>
      <c r="I337" s="2" t="n">
        <v>1048</v>
      </c>
      <c r="J337" s="2" t="n">
        <v>536</v>
      </c>
      <c r="K337" s="2" t="n">
        <v>2896</v>
      </c>
      <c r="L337" s="2" t="n">
        <v>0</v>
      </c>
      <c r="M337" s="2" t="n">
        <v>76</v>
      </c>
      <c r="N337" s="2" t="n">
        <v>164</v>
      </c>
      <c r="O337" s="2" t="n">
        <v>1670</v>
      </c>
      <c r="Q337" s="2" t="n">
        <f aca="false">F337+G337+H337</f>
        <v>1596</v>
      </c>
    </row>
    <row r="338" customFormat="false" ht="12.8" hidden="false" customHeight="false" outlineLevel="0" collapsed="false">
      <c r="A338" s="2" t="s">
        <v>249</v>
      </c>
      <c r="B338" s="2" t="s">
        <v>211</v>
      </c>
      <c r="C338" s="2" t="s">
        <v>222</v>
      </c>
      <c r="D338" s="2" t="n">
        <v>1107</v>
      </c>
      <c r="E338" s="2" t="n">
        <v>0</v>
      </c>
      <c r="F338" s="2" t="n">
        <v>0</v>
      </c>
      <c r="G338" s="2" t="n">
        <v>1073</v>
      </c>
      <c r="H338" s="2" t="n">
        <v>667</v>
      </c>
      <c r="I338" s="2" t="n">
        <v>1037</v>
      </c>
      <c r="J338" s="2" t="n">
        <v>596</v>
      </c>
      <c r="K338" s="2" t="n">
        <v>3123</v>
      </c>
      <c r="L338" s="2" t="n">
        <v>0</v>
      </c>
      <c r="M338" s="2" t="n">
        <v>93</v>
      </c>
      <c r="N338" s="2" t="n">
        <v>173</v>
      </c>
      <c r="O338" s="2" t="n">
        <v>1674</v>
      </c>
      <c r="Q338" s="2" t="n">
        <f aca="false">F338+G338+H338</f>
        <v>1740</v>
      </c>
    </row>
    <row r="339" customFormat="false" ht="12.8" hidden="false" customHeight="false" outlineLevel="0" collapsed="false">
      <c r="A339" s="2" t="s">
        <v>249</v>
      </c>
      <c r="B339" s="2" t="s">
        <v>211</v>
      </c>
      <c r="C339" s="2" t="s">
        <v>223</v>
      </c>
      <c r="D339" s="2" t="n">
        <v>1144</v>
      </c>
      <c r="E339" s="2" t="n">
        <v>0</v>
      </c>
      <c r="F339" s="2" t="n">
        <v>0</v>
      </c>
      <c r="G339" s="2" t="n">
        <v>1033</v>
      </c>
      <c r="H339" s="2" t="n">
        <v>708</v>
      </c>
      <c r="I339" s="2" t="n">
        <v>1139</v>
      </c>
      <c r="J339" s="2" t="n">
        <v>477</v>
      </c>
      <c r="K339" s="2" t="n">
        <v>3190</v>
      </c>
      <c r="L339" s="2" t="n">
        <v>0</v>
      </c>
      <c r="M339" s="2" t="n">
        <v>74</v>
      </c>
      <c r="N339" s="2" t="n">
        <v>161</v>
      </c>
      <c r="O339" s="2" t="n">
        <v>1788</v>
      </c>
      <c r="Q339" s="2" t="n">
        <f aca="false">F339+G339+H339</f>
        <v>1741</v>
      </c>
    </row>
    <row r="340" customFormat="false" ht="12.8" hidden="false" customHeight="false" outlineLevel="0" collapsed="false">
      <c r="A340" s="2" t="s">
        <v>249</v>
      </c>
      <c r="B340" s="2" t="s">
        <v>211</v>
      </c>
      <c r="C340" s="2" t="s">
        <v>224</v>
      </c>
      <c r="D340" s="2" t="n">
        <v>1191</v>
      </c>
      <c r="E340" s="2" t="n">
        <v>0</v>
      </c>
      <c r="F340" s="2" t="n">
        <v>0</v>
      </c>
      <c r="G340" s="2" t="n">
        <v>1193</v>
      </c>
      <c r="H340" s="2" t="n">
        <v>749</v>
      </c>
      <c r="I340" s="2" t="n">
        <v>1116</v>
      </c>
      <c r="J340" s="2" t="n">
        <v>691</v>
      </c>
      <c r="K340" s="2" t="n">
        <v>3463</v>
      </c>
      <c r="L340" s="2" t="n">
        <v>0</v>
      </c>
      <c r="M340" s="2" t="n">
        <v>131</v>
      </c>
      <c r="N340" s="2" t="n">
        <v>233</v>
      </c>
      <c r="O340" s="2" t="n">
        <v>1953</v>
      </c>
      <c r="Q340" s="2" t="n">
        <f aca="false">F340+G340+H340</f>
        <v>1942</v>
      </c>
    </row>
    <row r="341" customFormat="false" ht="12.8" hidden="false" customHeight="false" outlineLevel="0" collapsed="false">
      <c r="A341" s="2" t="s">
        <v>250</v>
      </c>
      <c r="B341" s="2" t="s">
        <v>211</v>
      </c>
      <c r="C341" s="2" t="s">
        <v>212</v>
      </c>
      <c r="D341" s="2" t="n">
        <v>1266</v>
      </c>
      <c r="E341" s="2" t="n">
        <v>0</v>
      </c>
      <c r="F341" s="2" t="n">
        <v>0</v>
      </c>
      <c r="G341" s="2" t="n">
        <v>383</v>
      </c>
      <c r="H341" s="2" t="n">
        <v>1337</v>
      </c>
      <c r="I341" s="2" t="n">
        <v>990</v>
      </c>
      <c r="J341" s="2" t="n">
        <v>415</v>
      </c>
      <c r="K341" s="2" t="n">
        <v>1429</v>
      </c>
      <c r="L341" s="2" t="n">
        <v>848</v>
      </c>
      <c r="M341" s="2" t="n">
        <v>218</v>
      </c>
      <c r="N341" s="2" t="n">
        <v>144</v>
      </c>
      <c r="O341" s="2" t="n">
        <v>513</v>
      </c>
      <c r="Q341" s="2" t="n">
        <f aca="false">F341+G341+H341</f>
        <v>1720</v>
      </c>
    </row>
    <row r="342" customFormat="false" ht="12.8" hidden="false" customHeight="false" outlineLevel="0" collapsed="false">
      <c r="A342" s="2" t="s">
        <v>250</v>
      </c>
      <c r="B342" s="2" t="s">
        <v>211</v>
      </c>
      <c r="C342" s="2" t="s">
        <v>213</v>
      </c>
      <c r="D342" s="2" t="n">
        <v>1103</v>
      </c>
      <c r="E342" s="2" t="n">
        <v>0</v>
      </c>
      <c r="F342" s="2" t="n">
        <v>0</v>
      </c>
      <c r="G342" s="2" t="n">
        <v>262</v>
      </c>
      <c r="H342" s="2" t="n">
        <v>1084</v>
      </c>
      <c r="I342" s="2" t="n">
        <v>781</v>
      </c>
      <c r="J342" s="2" t="n">
        <v>449</v>
      </c>
      <c r="K342" s="2" t="n">
        <v>1531</v>
      </c>
      <c r="L342" s="2" t="n">
        <v>643</v>
      </c>
      <c r="M342" s="2" t="n">
        <v>93</v>
      </c>
      <c r="N342" s="2" t="n">
        <v>86</v>
      </c>
      <c r="O342" s="2" t="n">
        <v>484</v>
      </c>
      <c r="Q342" s="2" t="n">
        <f aca="false">F342+G342+H342</f>
        <v>1346</v>
      </c>
    </row>
    <row r="343" customFormat="false" ht="12.8" hidden="false" customHeight="false" outlineLevel="0" collapsed="false">
      <c r="A343" s="2" t="s">
        <v>250</v>
      </c>
      <c r="B343" s="2" t="s">
        <v>211</v>
      </c>
      <c r="C343" s="2" t="s">
        <v>214</v>
      </c>
      <c r="D343" s="2" t="n">
        <v>1203</v>
      </c>
      <c r="E343" s="2" t="n">
        <v>0</v>
      </c>
      <c r="F343" s="2" t="n">
        <v>0</v>
      </c>
      <c r="G343" s="2" t="n">
        <v>296</v>
      </c>
      <c r="H343" s="2" t="n">
        <v>1295</v>
      </c>
      <c r="I343" s="2" t="n">
        <v>837</v>
      </c>
      <c r="J343" s="2" t="n">
        <v>510</v>
      </c>
      <c r="K343" s="2" t="n">
        <v>1924</v>
      </c>
      <c r="L343" s="2" t="n">
        <v>827</v>
      </c>
      <c r="M343" s="2" t="n">
        <v>205</v>
      </c>
      <c r="N343" s="2" t="n">
        <v>125</v>
      </c>
      <c r="O343" s="2" t="n">
        <v>516</v>
      </c>
      <c r="Q343" s="2" t="n">
        <f aca="false">F343+G343+H343</f>
        <v>1591</v>
      </c>
    </row>
    <row r="344" customFormat="false" ht="12.8" hidden="false" customHeight="false" outlineLevel="0" collapsed="false">
      <c r="A344" s="2" t="s">
        <v>250</v>
      </c>
      <c r="B344" s="2" t="s">
        <v>211</v>
      </c>
      <c r="C344" s="2" t="s">
        <v>215</v>
      </c>
      <c r="D344" s="2" t="n">
        <v>1218</v>
      </c>
      <c r="E344" s="2" t="n">
        <v>0</v>
      </c>
      <c r="F344" s="2" t="n">
        <v>0</v>
      </c>
      <c r="G344" s="2" t="n">
        <v>298</v>
      </c>
      <c r="H344" s="2" t="n">
        <v>1219</v>
      </c>
      <c r="I344" s="2" t="n">
        <v>828</v>
      </c>
      <c r="J344" s="2" t="n">
        <v>511</v>
      </c>
      <c r="K344" s="2" t="n">
        <v>1669</v>
      </c>
      <c r="L344" s="2" t="n">
        <v>924</v>
      </c>
      <c r="M344" s="2" t="n">
        <v>152</v>
      </c>
      <c r="N344" s="2" t="n">
        <v>95</v>
      </c>
      <c r="O344" s="2" t="n">
        <v>518</v>
      </c>
      <c r="Q344" s="2" t="n">
        <f aca="false">F344+G344+H344</f>
        <v>1517</v>
      </c>
    </row>
    <row r="345" customFormat="false" ht="12.8" hidden="false" customHeight="false" outlineLevel="0" collapsed="false">
      <c r="A345" s="2" t="s">
        <v>250</v>
      </c>
      <c r="B345" s="2" t="s">
        <v>211</v>
      </c>
      <c r="C345" s="2" t="s">
        <v>216</v>
      </c>
      <c r="D345" s="2" t="n">
        <v>1471</v>
      </c>
      <c r="E345" s="2" t="n">
        <v>0</v>
      </c>
      <c r="F345" s="2" t="n">
        <v>0</v>
      </c>
      <c r="G345" s="2" t="n">
        <v>440</v>
      </c>
      <c r="H345" s="2" t="n">
        <v>1527</v>
      </c>
      <c r="I345" s="2" t="n">
        <v>1005</v>
      </c>
      <c r="J345" s="2" t="n">
        <v>613</v>
      </c>
      <c r="K345" s="2" t="n">
        <v>1933</v>
      </c>
      <c r="L345" s="2" t="n">
        <v>958</v>
      </c>
      <c r="M345" s="2" t="n">
        <v>169</v>
      </c>
      <c r="N345" s="2" t="n">
        <v>153</v>
      </c>
      <c r="O345" s="2" t="n">
        <v>595</v>
      </c>
      <c r="Q345" s="2" t="n">
        <f aca="false">F345+G345+H345</f>
        <v>1967</v>
      </c>
    </row>
    <row r="346" customFormat="false" ht="12.8" hidden="false" customHeight="false" outlineLevel="0" collapsed="false">
      <c r="A346" s="2" t="s">
        <v>250</v>
      </c>
      <c r="B346" s="2" t="s">
        <v>211</v>
      </c>
      <c r="C346" s="2" t="s">
        <v>217</v>
      </c>
      <c r="D346" s="2" t="n">
        <v>1388</v>
      </c>
      <c r="E346" s="2" t="n">
        <v>0</v>
      </c>
      <c r="F346" s="2" t="n">
        <v>0</v>
      </c>
      <c r="G346" s="2" t="n">
        <v>425</v>
      </c>
      <c r="H346" s="2" t="n">
        <v>1404</v>
      </c>
      <c r="I346" s="2" t="n">
        <v>1083</v>
      </c>
      <c r="J346" s="2" t="n">
        <v>487</v>
      </c>
      <c r="K346" s="2" t="n">
        <v>1545</v>
      </c>
      <c r="L346" s="2" t="n">
        <v>928</v>
      </c>
      <c r="M346" s="2" t="n">
        <v>210</v>
      </c>
      <c r="N346" s="2" t="n">
        <v>132</v>
      </c>
      <c r="O346" s="2" t="n">
        <v>622</v>
      </c>
      <c r="Q346" s="2" t="n">
        <f aca="false">F346+G346+H346</f>
        <v>1829</v>
      </c>
    </row>
    <row r="347" customFormat="false" ht="12.8" hidden="false" customHeight="false" outlineLevel="0" collapsed="false">
      <c r="A347" s="2" t="s">
        <v>250</v>
      </c>
      <c r="B347" s="2" t="s">
        <v>211</v>
      </c>
      <c r="C347" s="2" t="s">
        <v>218</v>
      </c>
      <c r="D347" s="2" t="n">
        <v>1379</v>
      </c>
      <c r="E347" s="2" t="n">
        <v>0</v>
      </c>
      <c r="F347" s="2" t="n">
        <v>0</v>
      </c>
      <c r="G347" s="2" t="n">
        <v>390</v>
      </c>
      <c r="H347" s="2" t="n">
        <v>1334</v>
      </c>
      <c r="I347" s="2" t="n">
        <v>1104</v>
      </c>
      <c r="J347" s="2" t="n">
        <v>384</v>
      </c>
      <c r="K347" s="2" t="n">
        <v>1414</v>
      </c>
      <c r="L347" s="2" t="n">
        <v>1085</v>
      </c>
      <c r="M347" s="2" t="n">
        <v>149</v>
      </c>
      <c r="N347" s="2" t="n">
        <v>87</v>
      </c>
      <c r="O347" s="2" t="n">
        <v>567</v>
      </c>
      <c r="Q347" s="2" t="n">
        <f aca="false">F347+G347+H347</f>
        <v>1724</v>
      </c>
    </row>
    <row r="348" customFormat="false" ht="12.8" hidden="false" customHeight="false" outlineLevel="0" collapsed="false">
      <c r="A348" s="2" t="s">
        <v>250</v>
      </c>
      <c r="B348" s="2" t="s">
        <v>211</v>
      </c>
      <c r="C348" s="2" t="s">
        <v>219</v>
      </c>
      <c r="D348" s="2" t="n">
        <v>1333</v>
      </c>
      <c r="E348" s="2" t="n">
        <v>0</v>
      </c>
      <c r="F348" s="2" t="n">
        <v>0</v>
      </c>
      <c r="G348" s="2" t="n">
        <v>369</v>
      </c>
      <c r="H348" s="2" t="n">
        <v>1359</v>
      </c>
      <c r="I348" s="2" t="n">
        <v>1104</v>
      </c>
      <c r="J348" s="2" t="n">
        <v>372</v>
      </c>
      <c r="K348" s="2" t="n">
        <v>1384</v>
      </c>
      <c r="L348" s="2" t="n">
        <v>1041</v>
      </c>
      <c r="M348" s="2" t="n">
        <v>163</v>
      </c>
      <c r="N348" s="2" t="n">
        <v>118</v>
      </c>
      <c r="O348" s="2" t="n">
        <v>647</v>
      </c>
      <c r="Q348" s="2" t="n">
        <f aca="false">F348+G348+H348</f>
        <v>1728</v>
      </c>
    </row>
    <row r="349" customFormat="false" ht="12.8" hidden="false" customHeight="false" outlineLevel="0" collapsed="false">
      <c r="A349" s="2" t="s">
        <v>250</v>
      </c>
      <c r="B349" s="2" t="s">
        <v>211</v>
      </c>
      <c r="C349" s="2" t="s">
        <v>220</v>
      </c>
      <c r="D349" s="2" t="n">
        <v>1337</v>
      </c>
      <c r="E349" s="2" t="n">
        <v>0</v>
      </c>
      <c r="F349" s="2" t="n">
        <v>0</v>
      </c>
      <c r="G349" s="2" t="n">
        <v>353</v>
      </c>
      <c r="H349" s="2" t="n">
        <v>1347</v>
      </c>
      <c r="I349" s="2" t="n">
        <v>1013</v>
      </c>
      <c r="J349" s="2" t="n">
        <v>457</v>
      </c>
      <c r="K349" s="2" t="n">
        <v>1280</v>
      </c>
      <c r="L349" s="2" t="n">
        <v>1158</v>
      </c>
      <c r="M349" s="2" t="n">
        <v>161</v>
      </c>
      <c r="N349" s="2" t="n">
        <v>103</v>
      </c>
      <c r="O349" s="2" t="n">
        <v>582</v>
      </c>
      <c r="Q349" s="2" t="n">
        <f aca="false">F349+G349+H349</f>
        <v>1700</v>
      </c>
    </row>
    <row r="350" customFormat="false" ht="12.8" hidden="false" customHeight="false" outlineLevel="0" collapsed="false">
      <c r="A350" s="2" t="s">
        <v>250</v>
      </c>
      <c r="B350" s="2" t="s">
        <v>211</v>
      </c>
      <c r="C350" s="2" t="s">
        <v>221</v>
      </c>
      <c r="D350" s="2" t="n">
        <v>1330</v>
      </c>
      <c r="E350" s="2" t="n">
        <v>0</v>
      </c>
      <c r="F350" s="2" t="n">
        <v>0</v>
      </c>
      <c r="G350" s="2" t="n">
        <v>334</v>
      </c>
      <c r="H350" s="2" t="n">
        <v>1446</v>
      </c>
      <c r="I350" s="2" t="n">
        <v>990</v>
      </c>
      <c r="J350" s="2" t="n">
        <v>508</v>
      </c>
      <c r="K350" s="2" t="n">
        <v>1216</v>
      </c>
      <c r="L350" s="2" t="n">
        <v>1182</v>
      </c>
      <c r="M350" s="2" t="n">
        <v>233</v>
      </c>
      <c r="N350" s="2" t="n">
        <v>148</v>
      </c>
      <c r="O350" s="2" t="n">
        <v>568</v>
      </c>
      <c r="Q350" s="2" t="n">
        <f aca="false">F350+G350+H350</f>
        <v>1780</v>
      </c>
    </row>
    <row r="351" customFormat="false" ht="12.8" hidden="false" customHeight="false" outlineLevel="0" collapsed="false">
      <c r="A351" s="2" t="s">
        <v>250</v>
      </c>
      <c r="B351" s="2" t="s">
        <v>211</v>
      </c>
      <c r="C351" s="2" t="s">
        <v>222</v>
      </c>
      <c r="D351" s="2" t="n">
        <v>1345</v>
      </c>
      <c r="E351" s="2" t="n">
        <v>0</v>
      </c>
      <c r="F351" s="2" t="n">
        <v>0</v>
      </c>
      <c r="G351" s="2" t="n">
        <v>273</v>
      </c>
      <c r="H351" s="2" t="n">
        <v>1500</v>
      </c>
      <c r="I351" s="2" t="n">
        <v>1066</v>
      </c>
      <c r="J351" s="2" t="n">
        <v>460</v>
      </c>
      <c r="K351" s="2" t="n">
        <v>1532</v>
      </c>
      <c r="L351" s="2" t="n">
        <v>987</v>
      </c>
      <c r="M351" s="2" t="n">
        <v>220</v>
      </c>
      <c r="N351" s="2" t="n">
        <v>154</v>
      </c>
      <c r="O351" s="2" t="n">
        <v>523</v>
      </c>
      <c r="Q351" s="2" t="n">
        <f aca="false">F351+G351+H351</f>
        <v>1773</v>
      </c>
    </row>
    <row r="352" customFormat="false" ht="12.8" hidden="false" customHeight="false" outlineLevel="0" collapsed="false">
      <c r="A352" s="2" t="s">
        <v>250</v>
      </c>
      <c r="B352" s="2" t="s">
        <v>211</v>
      </c>
      <c r="C352" s="2" t="s">
        <v>223</v>
      </c>
      <c r="D352" s="2" t="n">
        <v>1341</v>
      </c>
      <c r="E352" s="2" t="n">
        <v>0</v>
      </c>
      <c r="F352" s="2" t="n">
        <v>0</v>
      </c>
      <c r="G352" s="2" t="n">
        <v>282</v>
      </c>
      <c r="H352" s="2" t="n">
        <v>1424</v>
      </c>
      <c r="I352" s="2" t="n">
        <v>937</v>
      </c>
      <c r="J352" s="2" t="n">
        <v>498</v>
      </c>
      <c r="K352" s="2" t="n">
        <v>1706</v>
      </c>
      <c r="L352" s="2" t="n">
        <v>823</v>
      </c>
      <c r="M352" s="2" t="n">
        <v>198</v>
      </c>
      <c r="N352" s="2" t="n">
        <v>111</v>
      </c>
      <c r="O352" s="2" t="n">
        <v>541</v>
      </c>
      <c r="Q352" s="2" t="n">
        <f aca="false">F352+G352+H352</f>
        <v>1706</v>
      </c>
    </row>
    <row r="353" customFormat="false" ht="12.8" hidden="false" customHeight="false" outlineLevel="0" collapsed="false">
      <c r="A353" s="2" t="s">
        <v>250</v>
      </c>
      <c r="B353" s="2" t="s">
        <v>211</v>
      </c>
      <c r="C353" s="2" t="s">
        <v>224</v>
      </c>
      <c r="D353" s="2" t="n">
        <v>1288</v>
      </c>
      <c r="E353" s="2" t="n">
        <v>0</v>
      </c>
      <c r="F353" s="2" t="n">
        <v>0</v>
      </c>
      <c r="G353" s="2" t="n">
        <v>288</v>
      </c>
      <c r="H353" s="2" t="n">
        <v>1398</v>
      </c>
      <c r="I353" s="2" t="n">
        <v>950</v>
      </c>
      <c r="J353" s="2" t="n">
        <v>533</v>
      </c>
      <c r="K353" s="2" t="n">
        <v>1477</v>
      </c>
      <c r="L353" s="2" t="n">
        <v>1090</v>
      </c>
      <c r="M353" s="2" t="n">
        <v>202</v>
      </c>
      <c r="N353" s="2" t="n">
        <v>121</v>
      </c>
      <c r="O353" s="2" t="n">
        <v>564</v>
      </c>
      <c r="Q353" s="2" t="n">
        <f aca="false">F353+G353+H353</f>
        <v>1686</v>
      </c>
    </row>
    <row r="354" customFormat="false" ht="12.8" hidden="false" customHeight="false" outlineLevel="0" collapsed="false">
      <c r="A354" s="2" t="s">
        <v>251</v>
      </c>
      <c r="B354" s="2" t="s">
        <v>211</v>
      </c>
      <c r="C354" s="2" t="s">
        <v>212</v>
      </c>
      <c r="D354" s="2" t="n">
        <v>1483</v>
      </c>
      <c r="E354" s="2" t="n">
        <v>0</v>
      </c>
      <c r="F354" s="2" t="n">
        <v>0</v>
      </c>
      <c r="G354" s="2" t="n">
        <v>1259</v>
      </c>
      <c r="H354" s="2" t="n">
        <v>477</v>
      </c>
      <c r="I354" s="2" t="n">
        <v>939</v>
      </c>
      <c r="J354" s="2" t="n">
        <v>779</v>
      </c>
      <c r="K354" s="2" t="n">
        <v>3283</v>
      </c>
      <c r="L354" s="2" t="n">
        <v>0</v>
      </c>
      <c r="M354" s="2" t="n">
        <v>46</v>
      </c>
      <c r="N354" s="2" t="n">
        <v>158</v>
      </c>
      <c r="O354" s="2" t="n">
        <v>1793</v>
      </c>
      <c r="Q354" s="2" t="n">
        <f aca="false">F354+G354+H354</f>
        <v>1736</v>
      </c>
    </row>
    <row r="355" customFormat="false" ht="12.8" hidden="false" customHeight="false" outlineLevel="0" collapsed="false">
      <c r="A355" s="2" t="s">
        <v>251</v>
      </c>
      <c r="B355" s="2" t="s">
        <v>211</v>
      </c>
      <c r="C355" s="2" t="s">
        <v>213</v>
      </c>
      <c r="D355" s="2" t="n">
        <v>1303</v>
      </c>
      <c r="E355" s="2" t="n">
        <v>0</v>
      </c>
      <c r="F355" s="2" t="n">
        <v>0</v>
      </c>
      <c r="G355" s="2" t="n">
        <v>1416</v>
      </c>
      <c r="H355" s="2" t="n">
        <v>515</v>
      </c>
      <c r="I355" s="2" t="n">
        <v>1078</v>
      </c>
      <c r="J355" s="2" t="n">
        <v>790</v>
      </c>
      <c r="K355" s="2" t="n">
        <v>3478</v>
      </c>
      <c r="L355" s="2" t="n">
        <v>0</v>
      </c>
      <c r="M355" s="2" t="n">
        <v>34</v>
      </c>
      <c r="N355" s="2" t="n">
        <v>203</v>
      </c>
      <c r="O355" s="2" t="n">
        <v>2288</v>
      </c>
      <c r="Q355" s="2" t="n">
        <f aca="false">F355+G355+H355</f>
        <v>1931</v>
      </c>
    </row>
    <row r="356" customFormat="false" ht="12.8" hidden="false" customHeight="false" outlineLevel="0" collapsed="false">
      <c r="A356" s="2" t="s">
        <v>251</v>
      </c>
      <c r="B356" s="2" t="s">
        <v>211</v>
      </c>
      <c r="C356" s="2" t="s">
        <v>214</v>
      </c>
      <c r="D356" s="2" t="n">
        <v>1407</v>
      </c>
      <c r="E356" s="2" t="n">
        <v>0</v>
      </c>
      <c r="F356" s="2" t="n">
        <v>0</v>
      </c>
      <c r="G356" s="2" t="n">
        <v>1441</v>
      </c>
      <c r="H356" s="2" t="n">
        <v>633</v>
      </c>
      <c r="I356" s="2" t="n">
        <v>1261</v>
      </c>
      <c r="J356" s="2" t="n">
        <v>761</v>
      </c>
      <c r="K356" s="2" t="n">
        <v>3915</v>
      </c>
      <c r="L356" s="2" t="n">
        <v>0</v>
      </c>
      <c r="M356" s="2" t="n">
        <v>16</v>
      </c>
      <c r="N356" s="2" t="n">
        <v>189</v>
      </c>
      <c r="O356" s="2" t="n">
        <v>2142</v>
      </c>
      <c r="Q356" s="2" t="n">
        <f aca="false">F356+G356+H356</f>
        <v>2074</v>
      </c>
    </row>
    <row r="357" customFormat="false" ht="12.8" hidden="false" customHeight="false" outlineLevel="0" collapsed="false">
      <c r="A357" s="2" t="s">
        <v>251</v>
      </c>
      <c r="B357" s="2" t="s">
        <v>211</v>
      </c>
      <c r="C357" s="2" t="s">
        <v>215</v>
      </c>
      <c r="D357" s="2" t="n">
        <v>1359</v>
      </c>
      <c r="E357" s="2" t="n">
        <v>0</v>
      </c>
      <c r="F357" s="2" t="n">
        <v>0</v>
      </c>
      <c r="G357" s="2" t="n">
        <v>1377</v>
      </c>
      <c r="H357" s="2" t="n">
        <v>640</v>
      </c>
      <c r="I357" s="2" t="n">
        <v>1209</v>
      </c>
      <c r="J357" s="2" t="n">
        <v>770</v>
      </c>
      <c r="K357" s="2" t="n">
        <v>3813</v>
      </c>
      <c r="L357" s="2" t="n">
        <v>0</v>
      </c>
      <c r="M357" s="2" t="n">
        <v>58</v>
      </c>
      <c r="N357" s="2" t="n">
        <v>156</v>
      </c>
      <c r="O357" s="2" t="n">
        <v>1885</v>
      </c>
      <c r="Q357" s="2" t="n">
        <f aca="false">F357+G357+H357</f>
        <v>2017</v>
      </c>
    </row>
    <row r="358" customFormat="false" ht="12.8" hidden="false" customHeight="false" outlineLevel="0" collapsed="false">
      <c r="A358" s="2" t="s">
        <v>251</v>
      </c>
      <c r="B358" s="2" t="s">
        <v>211</v>
      </c>
      <c r="C358" s="2" t="s">
        <v>216</v>
      </c>
      <c r="D358" s="2" t="n">
        <v>1351</v>
      </c>
      <c r="E358" s="2" t="n">
        <v>0</v>
      </c>
      <c r="F358" s="2" t="n">
        <v>0</v>
      </c>
      <c r="G358" s="2" t="n">
        <v>1448</v>
      </c>
      <c r="H358" s="2" t="n">
        <v>688</v>
      </c>
      <c r="I358" s="2" t="n">
        <v>1095</v>
      </c>
      <c r="J358" s="2" t="n">
        <v>974</v>
      </c>
      <c r="K358" s="2" t="n">
        <v>3981</v>
      </c>
      <c r="L358" s="2" t="n">
        <v>0</v>
      </c>
      <c r="M358" s="2" t="n">
        <v>51</v>
      </c>
      <c r="N358" s="2" t="n">
        <v>203</v>
      </c>
      <c r="O358" s="2" t="n">
        <v>2118</v>
      </c>
      <c r="Q358" s="2" t="n">
        <f aca="false">F358+G358+H358</f>
        <v>2136</v>
      </c>
    </row>
    <row r="359" customFormat="false" ht="12.8" hidden="false" customHeight="false" outlineLevel="0" collapsed="false">
      <c r="A359" s="2" t="s">
        <v>251</v>
      </c>
      <c r="B359" s="2" t="s">
        <v>211</v>
      </c>
      <c r="C359" s="2" t="s">
        <v>217</v>
      </c>
      <c r="D359" s="2" t="n">
        <v>1658</v>
      </c>
      <c r="E359" s="2" t="n">
        <v>0</v>
      </c>
      <c r="F359" s="2" t="n">
        <v>0</v>
      </c>
      <c r="G359" s="2" t="n">
        <v>1412</v>
      </c>
      <c r="H359" s="2" t="n">
        <v>573</v>
      </c>
      <c r="I359" s="2" t="n">
        <v>1031</v>
      </c>
      <c r="J359" s="2" t="n">
        <v>898</v>
      </c>
      <c r="K359" s="2" t="n">
        <v>3680</v>
      </c>
      <c r="L359" s="2" t="n">
        <v>0</v>
      </c>
      <c r="M359" s="2" t="n">
        <v>40</v>
      </c>
      <c r="N359" s="2" t="n">
        <v>162</v>
      </c>
      <c r="O359" s="2" t="n">
        <v>2213</v>
      </c>
      <c r="Q359" s="2" t="n">
        <f aca="false">F359+G359+H359</f>
        <v>1985</v>
      </c>
    </row>
    <row r="360" customFormat="false" ht="12.8" hidden="false" customHeight="false" outlineLevel="0" collapsed="false">
      <c r="A360" s="2" t="s">
        <v>251</v>
      </c>
      <c r="B360" s="2" t="s">
        <v>211</v>
      </c>
      <c r="C360" s="2" t="s">
        <v>218</v>
      </c>
      <c r="D360" s="2" t="n">
        <v>1439</v>
      </c>
      <c r="E360" s="2" t="n">
        <v>0</v>
      </c>
      <c r="F360" s="2" t="n">
        <v>0</v>
      </c>
      <c r="G360" s="2" t="n">
        <v>1252</v>
      </c>
      <c r="H360" s="2" t="n">
        <v>564</v>
      </c>
      <c r="I360" s="2" t="n">
        <v>1025</v>
      </c>
      <c r="J360" s="2" t="n">
        <v>743</v>
      </c>
      <c r="K360" s="2" t="n">
        <v>3324</v>
      </c>
      <c r="L360" s="2" t="n">
        <v>0</v>
      </c>
      <c r="M360" s="2" t="n">
        <v>40</v>
      </c>
      <c r="N360" s="2" t="n">
        <v>140</v>
      </c>
      <c r="O360" s="2" t="n">
        <v>1635</v>
      </c>
      <c r="Q360" s="2" t="n">
        <f aca="false">F360+G360+H360</f>
        <v>1816</v>
      </c>
    </row>
    <row r="361" customFormat="false" ht="12.8" hidden="false" customHeight="false" outlineLevel="0" collapsed="false">
      <c r="A361" s="2" t="s">
        <v>251</v>
      </c>
      <c r="B361" s="2" t="s">
        <v>211</v>
      </c>
      <c r="C361" s="2" t="s">
        <v>219</v>
      </c>
      <c r="D361" s="2" t="n">
        <v>1338</v>
      </c>
      <c r="E361" s="2" t="n">
        <v>0</v>
      </c>
      <c r="F361" s="2" t="n">
        <v>0</v>
      </c>
      <c r="G361" s="2" t="n">
        <v>1215</v>
      </c>
      <c r="H361" s="2" t="n">
        <v>536</v>
      </c>
      <c r="I361" s="2" t="n">
        <v>991</v>
      </c>
      <c r="J361" s="2" t="n">
        <v>696</v>
      </c>
      <c r="K361" s="2" t="n">
        <v>3205</v>
      </c>
      <c r="L361" s="2" t="n">
        <v>0</v>
      </c>
      <c r="M361" s="2" t="n">
        <v>45</v>
      </c>
      <c r="N361" s="2" t="n">
        <v>177</v>
      </c>
      <c r="O361" s="2" t="n">
        <v>1798</v>
      </c>
      <c r="Q361" s="2" t="n">
        <f aca="false">F361+G361+H361</f>
        <v>1751</v>
      </c>
    </row>
    <row r="362" customFormat="false" ht="12.8" hidden="false" customHeight="false" outlineLevel="0" collapsed="false">
      <c r="A362" s="2" t="s">
        <v>251</v>
      </c>
      <c r="B362" s="2" t="s">
        <v>211</v>
      </c>
      <c r="C362" s="2" t="s">
        <v>220</v>
      </c>
      <c r="D362" s="2" t="n">
        <v>1289</v>
      </c>
      <c r="E362" s="2" t="n">
        <v>0</v>
      </c>
      <c r="F362" s="2" t="n">
        <v>0</v>
      </c>
      <c r="G362" s="2" t="n">
        <v>1152</v>
      </c>
      <c r="H362" s="2" t="n">
        <v>545</v>
      </c>
      <c r="I362" s="2" t="n">
        <v>972</v>
      </c>
      <c r="J362" s="2" t="n">
        <v>726</v>
      </c>
      <c r="K362" s="2" t="n">
        <v>3249</v>
      </c>
      <c r="L362" s="2" t="n">
        <v>0</v>
      </c>
      <c r="M362" s="2" t="n">
        <v>39</v>
      </c>
      <c r="N362" s="2" t="n">
        <v>141</v>
      </c>
      <c r="O362" s="2" t="n">
        <v>1666</v>
      </c>
      <c r="Q362" s="2" t="n">
        <f aca="false">F362+G362+H362</f>
        <v>1697</v>
      </c>
    </row>
    <row r="363" customFormat="false" ht="12.8" hidden="false" customHeight="false" outlineLevel="0" collapsed="false">
      <c r="A363" s="2" t="s">
        <v>251</v>
      </c>
      <c r="B363" s="2" t="s">
        <v>211</v>
      </c>
      <c r="C363" s="2" t="s">
        <v>221</v>
      </c>
      <c r="D363" s="2" t="n">
        <v>1266</v>
      </c>
      <c r="E363" s="2" t="n">
        <v>0</v>
      </c>
      <c r="F363" s="2" t="n">
        <v>0</v>
      </c>
      <c r="G363" s="2" t="n">
        <v>1190</v>
      </c>
      <c r="H363" s="2" t="n">
        <v>542</v>
      </c>
      <c r="I363" s="2" t="n">
        <v>989</v>
      </c>
      <c r="J363" s="2" t="n">
        <v>718</v>
      </c>
      <c r="K363" s="2" t="n">
        <v>3312</v>
      </c>
      <c r="L363" s="2" t="n">
        <v>0</v>
      </c>
      <c r="M363" s="2" t="n">
        <v>40</v>
      </c>
      <c r="N363" s="2" t="n">
        <v>153</v>
      </c>
      <c r="O363" s="2" t="n">
        <v>1823</v>
      </c>
      <c r="Q363" s="2" t="n">
        <f aca="false">F363+G363+H363</f>
        <v>1732</v>
      </c>
    </row>
    <row r="364" customFormat="false" ht="12.8" hidden="false" customHeight="false" outlineLevel="0" collapsed="false">
      <c r="A364" s="2" t="s">
        <v>251</v>
      </c>
      <c r="B364" s="2" t="s">
        <v>211</v>
      </c>
      <c r="C364" s="2" t="s">
        <v>222</v>
      </c>
      <c r="D364" s="2" t="n">
        <v>1375</v>
      </c>
      <c r="E364" s="2" t="n">
        <v>0</v>
      </c>
      <c r="F364" s="2" t="n">
        <v>0</v>
      </c>
      <c r="G364" s="2" t="n">
        <v>1315</v>
      </c>
      <c r="H364" s="2" t="n">
        <v>616</v>
      </c>
      <c r="I364" s="2" t="n">
        <v>1033</v>
      </c>
      <c r="J364" s="2" t="n">
        <v>786</v>
      </c>
      <c r="K364" s="2" t="n">
        <v>3700</v>
      </c>
      <c r="L364" s="2" t="n">
        <v>0</v>
      </c>
      <c r="M364" s="2" t="n">
        <v>71</v>
      </c>
      <c r="N364" s="2" t="n">
        <v>163</v>
      </c>
      <c r="O364" s="2" t="n">
        <v>2100</v>
      </c>
      <c r="Q364" s="2" t="n">
        <f aca="false">F364+G364+H364</f>
        <v>1931</v>
      </c>
    </row>
    <row r="365" customFormat="false" ht="12.8" hidden="false" customHeight="false" outlineLevel="0" collapsed="false">
      <c r="A365" s="2" t="s">
        <v>251</v>
      </c>
      <c r="B365" s="2" t="s">
        <v>211</v>
      </c>
      <c r="C365" s="2" t="s">
        <v>223</v>
      </c>
      <c r="D365" s="2" t="n">
        <v>1139</v>
      </c>
      <c r="E365" s="2" t="n">
        <v>0</v>
      </c>
      <c r="F365" s="2" t="n">
        <v>0</v>
      </c>
      <c r="G365" s="2" t="n">
        <v>1098</v>
      </c>
      <c r="H365" s="2" t="n">
        <v>540</v>
      </c>
      <c r="I365" s="2" t="n">
        <v>807</v>
      </c>
      <c r="J365" s="2" t="n">
        <v>709</v>
      </c>
      <c r="K365" s="2" t="n">
        <v>3087</v>
      </c>
      <c r="L365" s="2" t="n">
        <v>0</v>
      </c>
      <c r="M365" s="2" t="n">
        <v>49</v>
      </c>
      <c r="N365" s="2" t="n">
        <v>134</v>
      </c>
      <c r="O365" s="2" t="n">
        <v>1789</v>
      </c>
      <c r="Q365" s="2" t="n">
        <f aca="false">F365+G365+H365</f>
        <v>1638</v>
      </c>
    </row>
    <row r="366" customFormat="false" ht="12.8" hidden="false" customHeight="false" outlineLevel="0" collapsed="false">
      <c r="A366" s="2" t="s">
        <v>251</v>
      </c>
      <c r="B366" s="2" t="s">
        <v>211</v>
      </c>
      <c r="C366" s="2" t="s">
        <v>224</v>
      </c>
      <c r="D366" s="2" t="n">
        <v>1219</v>
      </c>
      <c r="E366" s="2" t="n">
        <v>0</v>
      </c>
      <c r="F366" s="2" t="n">
        <v>0</v>
      </c>
      <c r="G366" s="2" t="n">
        <v>1247</v>
      </c>
      <c r="H366" s="2" t="n">
        <v>579</v>
      </c>
      <c r="I366" s="2" t="n">
        <v>902</v>
      </c>
      <c r="J366" s="2" t="n">
        <v>801</v>
      </c>
      <c r="K366" s="2" t="n">
        <v>3301</v>
      </c>
      <c r="L366" s="2" t="n">
        <v>0</v>
      </c>
      <c r="M366" s="2" t="n">
        <v>51</v>
      </c>
      <c r="N366" s="2" t="n">
        <v>185</v>
      </c>
      <c r="O366" s="2" t="n">
        <v>1906</v>
      </c>
      <c r="Q366" s="2" t="n">
        <f aca="false">F366+G366+H366</f>
        <v>1826</v>
      </c>
    </row>
    <row r="367" customFormat="false" ht="12.8" hidden="false" customHeight="false" outlineLevel="0" collapsed="false">
      <c r="A367" s="2" t="s">
        <v>252</v>
      </c>
      <c r="B367" s="2" t="s">
        <v>211</v>
      </c>
      <c r="C367" s="2" t="s">
        <v>212</v>
      </c>
      <c r="D367" s="2" t="n">
        <v>1601</v>
      </c>
      <c r="E367" s="2" t="n">
        <v>0</v>
      </c>
      <c r="F367" s="2" t="n">
        <v>0</v>
      </c>
      <c r="G367" s="2" t="n">
        <v>715</v>
      </c>
      <c r="H367" s="2" t="n">
        <v>956</v>
      </c>
      <c r="I367" s="2" t="n">
        <v>0</v>
      </c>
      <c r="J367" s="2" t="n">
        <v>0</v>
      </c>
      <c r="K367" s="2" t="n">
        <v>0</v>
      </c>
      <c r="L367" s="2" t="n">
        <v>0</v>
      </c>
      <c r="M367" s="2" t="n">
        <v>0</v>
      </c>
      <c r="N367" s="2" t="n">
        <v>0</v>
      </c>
      <c r="O367" s="2" t="n">
        <v>0</v>
      </c>
      <c r="Q367" s="2" t="n">
        <f aca="false">F367+G367+H367</f>
        <v>1671</v>
      </c>
    </row>
    <row r="368" customFormat="false" ht="12.8" hidden="false" customHeight="false" outlineLevel="0" collapsed="false">
      <c r="A368" s="2" t="s">
        <v>252</v>
      </c>
      <c r="B368" s="2" t="s">
        <v>211</v>
      </c>
      <c r="C368" s="2" t="s">
        <v>213</v>
      </c>
      <c r="D368" s="2" t="n">
        <v>1446</v>
      </c>
      <c r="E368" s="2" t="n">
        <v>0</v>
      </c>
      <c r="F368" s="2" t="n">
        <v>0</v>
      </c>
      <c r="G368" s="2" t="n">
        <v>1125</v>
      </c>
      <c r="H368" s="2" t="n">
        <v>945</v>
      </c>
      <c r="I368" s="2" t="n">
        <v>1343</v>
      </c>
      <c r="J368" s="2" t="n">
        <v>666</v>
      </c>
      <c r="K368" s="2" t="n">
        <v>3975</v>
      </c>
      <c r="L368" s="2" t="n">
        <v>0</v>
      </c>
      <c r="M368" s="2" t="n">
        <v>0</v>
      </c>
      <c r="N368" s="2" t="n">
        <v>111</v>
      </c>
      <c r="O368" s="2" t="n">
        <v>2392</v>
      </c>
      <c r="Q368" s="2" t="n">
        <f aca="false">F368+G368+H368</f>
        <v>2070</v>
      </c>
    </row>
    <row r="369" customFormat="false" ht="12.8" hidden="false" customHeight="false" outlineLevel="0" collapsed="false">
      <c r="A369" s="2" t="s">
        <v>252</v>
      </c>
      <c r="B369" s="2" t="s">
        <v>211</v>
      </c>
      <c r="C369" s="2" t="s">
        <v>214</v>
      </c>
      <c r="D369" s="2" t="n">
        <v>1437</v>
      </c>
      <c r="E369" s="2" t="n">
        <v>0</v>
      </c>
      <c r="F369" s="2" t="n">
        <v>0</v>
      </c>
      <c r="G369" s="2" t="n">
        <v>1119</v>
      </c>
      <c r="H369" s="2" t="n">
        <v>1015</v>
      </c>
      <c r="I369" s="2" t="n">
        <v>1287</v>
      </c>
      <c r="J369" s="2" t="n">
        <v>811</v>
      </c>
      <c r="K369" s="2" t="n">
        <v>4209</v>
      </c>
      <c r="L369" s="2" t="n">
        <v>0</v>
      </c>
      <c r="M369" s="2" t="n">
        <v>0</v>
      </c>
      <c r="N369" s="2" t="n">
        <v>140</v>
      </c>
      <c r="O369" s="2" t="n">
        <v>2073</v>
      </c>
      <c r="Q369" s="2" t="n">
        <f aca="false">F369+G369+H369</f>
        <v>2134</v>
      </c>
    </row>
    <row r="370" customFormat="false" ht="12.8" hidden="false" customHeight="false" outlineLevel="0" collapsed="false">
      <c r="A370" s="2" t="s">
        <v>252</v>
      </c>
      <c r="B370" s="2" t="s">
        <v>211</v>
      </c>
      <c r="C370" s="2" t="s">
        <v>215</v>
      </c>
      <c r="D370" s="2" t="n">
        <v>1613</v>
      </c>
      <c r="E370" s="2" t="n">
        <v>0</v>
      </c>
      <c r="F370" s="2" t="n">
        <v>0</v>
      </c>
      <c r="G370" s="2" t="n">
        <v>1279</v>
      </c>
      <c r="H370" s="2" t="n">
        <v>1103</v>
      </c>
      <c r="I370" s="2" t="n">
        <v>1393</v>
      </c>
      <c r="J370" s="2" t="n">
        <v>981</v>
      </c>
      <c r="K370" s="2" t="n">
        <v>4589</v>
      </c>
      <c r="L370" s="2" t="n">
        <v>0</v>
      </c>
      <c r="M370" s="2" t="n">
        <v>0</v>
      </c>
      <c r="N370" s="2" t="n">
        <v>142</v>
      </c>
      <c r="O370" s="2" t="n">
        <v>2217</v>
      </c>
      <c r="Q370" s="2" t="n">
        <f aca="false">F370+G370+H370</f>
        <v>2382</v>
      </c>
    </row>
    <row r="371" customFormat="false" ht="12.8" hidden="false" customHeight="false" outlineLevel="0" collapsed="false">
      <c r="A371" s="2" t="s">
        <v>252</v>
      </c>
      <c r="B371" s="2" t="s">
        <v>211</v>
      </c>
      <c r="C371" s="2" t="s">
        <v>216</v>
      </c>
      <c r="D371" s="2" t="n">
        <v>1754</v>
      </c>
      <c r="E371" s="2" t="n">
        <v>0</v>
      </c>
      <c r="F371" s="2" t="n">
        <v>0</v>
      </c>
      <c r="G371" s="2" t="n">
        <v>1397</v>
      </c>
      <c r="H371" s="2" t="n">
        <v>1280</v>
      </c>
      <c r="I371" s="2" t="n">
        <v>1656</v>
      </c>
      <c r="J371" s="2" t="n">
        <v>1064</v>
      </c>
      <c r="K371" s="2" t="n">
        <v>5042</v>
      </c>
      <c r="L371" s="2" t="n">
        <v>0</v>
      </c>
      <c r="M371" s="2" t="n">
        <v>0</v>
      </c>
      <c r="N371" s="2" t="n">
        <v>109</v>
      </c>
      <c r="O371" s="2" t="n">
        <v>2776</v>
      </c>
      <c r="Q371" s="2" t="n">
        <f aca="false">F371+G371+H371</f>
        <v>2677</v>
      </c>
    </row>
    <row r="372" customFormat="false" ht="12.8" hidden="false" customHeight="false" outlineLevel="0" collapsed="false">
      <c r="A372" s="2" t="s">
        <v>252</v>
      </c>
      <c r="B372" s="2" t="s">
        <v>211</v>
      </c>
      <c r="C372" s="2" t="s">
        <v>217</v>
      </c>
      <c r="D372" s="2" t="n">
        <v>1749</v>
      </c>
      <c r="E372" s="2" t="n">
        <v>0</v>
      </c>
      <c r="F372" s="2" t="n">
        <v>0</v>
      </c>
      <c r="G372" s="2" t="n">
        <v>821</v>
      </c>
      <c r="H372" s="2" t="n">
        <v>1095</v>
      </c>
      <c r="I372" s="2" t="n">
        <v>0</v>
      </c>
      <c r="J372" s="2" t="n">
        <v>0</v>
      </c>
      <c r="K372" s="2" t="n">
        <v>0</v>
      </c>
      <c r="L372" s="2" t="n">
        <v>0</v>
      </c>
      <c r="M372" s="2" t="n">
        <v>0</v>
      </c>
      <c r="N372" s="2" t="n">
        <v>0</v>
      </c>
      <c r="O372" s="2" t="n">
        <v>0</v>
      </c>
      <c r="Q372" s="2" t="n">
        <f aca="false">F372+G372+H372</f>
        <v>1916</v>
      </c>
    </row>
    <row r="373" customFormat="false" ht="12.8" hidden="false" customHeight="false" outlineLevel="0" collapsed="false">
      <c r="A373" s="2" t="s">
        <v>252</v>
      </c>
      <c r="B373" s="2" t="s">
        <v>211</v>
      </c>
      <c r="C373" s="2" t="s">
        <v>218</v>
      </c>
      <c r="D373" s="2" t="n">
        <v>1732</v>
      </c>
      <c r="E373" s="2" t="n">
        <v>0</v>
      </c>
      <c r="F373" s="2" t="n">
        <v>0</v>
      </c>
      <c r="G373" s="2" t="n">
        <v>876</v>
      </c>
      <c r="H373" s="2" t="n">
        <v>1139</v>
      </c>
      <c r="I373" s="2" t="n">
        <v>0</v>
      </c>
      <c r="J373" s="2" t="n">
        <v>0</v>
      </c>
      <c r="K373" s="2" t="n">
        <v>0</v>
      </c>
      <c r="L373" s="2" t="n">
        <v>0</v>
      </c>
      <c r="M373" s="2" t="n">
        <v>0</v>
      </c>
      <c r="N373" s="2" t="n">
        <v>0</v>
      </c>
      <c r="O373" s="2" t="n">
        <v>0</v>
      </c>
      <c r="Q373" s="2" t="n">
        <f aca="false">F373+G373+H373</f>
        <v>2015</v>
      </c>
    </row>
    <row r="374" customFormat="false" ht="12.8" hidden="false" customHeight="false" outlineLevel="0" collapsed="false">
      <c r="A374" s="2" t="s">
        <v>252</v>
      </c>
      <c r="B374" s="2" t="s">
        <v>211</v>
      </c>
      <c r="C374" s="2" t="s">
        <v>219</v>
      </c>
      <c r="D374" s="2" t="n">
        <v>1554</v>
      </c>
      <c r="E374" s="2" t="n">
        <v>0</v>
      </c>
      <c r="F374" s="2" t="n">
        <v>0</v>
      </c>
      <c r="G374" s="2" t="n">
        <v>778</v>
      </c>
      <c r="H374" s="2" t="n">
        <v>1083</v>
      </c>
      <c r="I374" s="2" t="n">
        <v>0</v>
      </c>
      <c r="J374" s="2" t="n">
        <v>0</v>
      </c>
      <c r="K374" s="2" t="n">
        <v>0</v>
      </c>
      <c r="L374" s="2" t="n">
        <v>0</v>
      </c>
      <c r="M374" s="2" t="n">
        <v>0</v>
      </c>
      <c r="N374" s="2" t="n">
        <v>0</v>
      </c>
      <c r="O374" s="2" t="n">
        <v>0</v>
      </c>
      <c r="Q374" s="2" t="n">
        <f aca="false">F374+G374+H374</f>
        <v>1861</v>
      </c>
    </row>
    <row r="375" customFormat="false" ht="12.8" hidden="false" customHeight="false" outlineLevel="0" collapsed="false">
      <c r="A375" s="2" t="s">
        <v>252</v>
      </c>
      <c r="B375" s="2" t="s">
        <v>211</v>
      </c>
      <c r="C375" s="2" t="s">
        <v>220</v>
      </c>
      <c r="D375" s="2" t="n">
        <v>1546</v>
      </c>
      <c r="E375" s="2" t="n">
        <v>0</v>
      </c>
      <c r="F375" s="2" t="n">
        <v>0</v>
      </c>
      <c r="G375" s="2" t="n">
        <v>765</v>
      </c>
      <c r="H375" s="2" t="n">
        <v>1120</v>
      </c>
      <c r="I375" s="2" t="n">
        <v>0</v>
      </c>
      <c r="J375" s="2" t="n">
        <v>0</v>
      </c>
      <c r="K375" s="2" t="n">
        <v>0</v>
      </c>
      <c r="L375" s="2" t="n">
        <v>0</v>
      </c>
      <c r="M375" s="2" t="n">
        <v>0</v>
      </c>
      <c r="N375" s="2" t="n">
        <v>0</v>
      </c>
      <c r="O375" s="2" t="n">
        <v>0</v>
      </c>
      <c r="Q375" s="2" t="n">
        <f aca="false">F375+G375+H375</f>
        <v>1885</v>
      </c>
    </row>
    <row r="376" customFormat="false" ht="12.8" hidden="false" customHeight="false" outlineLevel="0" collapsed="false">
      <c r="A376" s="2" t="s">
        <v>252</v>
      </c>
      <c r="B376" s="2" t="s">
        <v>211</v>
      </c>
      <c r="C376" s="2" t="s">
        <v>221</v>
      </c>
      <c r="D376" s="2" t="n">
        <v>1506</v>
      </c>
      <c r="E376" s="2" t="n">
        <v>0</v>
      </c>
      <c r="F376" s="2" t="n">
        <v>0</v>
      </c>
      <c r="G376" s="2" t="n">
        <v>800</v>
      </c>
      <c r="H376" s="2" t="n">
        <v>1138</v>
      </c>
      <c r="I376" s="2" t="n">
        <v>0</v>
      </c>
      <c r="J376" s="2" t="n">
        <v>0</v>
      </c>
      <c r="K376" s="2" t="n">
        <v>0</v>
      </c>
      <c r="L376" s="2" t="n">
        <v>0</v>
      </c>
      <c r="M376" s="2" t="n">
        <v>0</v>
      </c>
      <c r="N376" s="2" t="n">
        <v>0</v>
      </c>
      <c r="O376" s="2" t="n">
        <v>0</v>
      </c>
      <c r="Q376" s="2" t="n">
        <f aca="false">F376+G376+H376</f>
        <v>1938</v>
      </c>
    </row>
    <row r="377" customFormat="false" ht="12.8" hidden="false" customHeight="false" outlineLevel="0" collapsed="false">
      <c r="A377" s="2" t="s">
        <v>252</v>
      </c>
      <c r="B377" s="2" t="s">
        <v>211</v>
      </c>
      <c r="C377" s="2" t="s">
        <v>222</v>
      </c>
      <c r="D377" s="2" t="n">
        <v>1522</v>
      </c>
      <c r="E377" s="2" t="n">
        <v>0</v>
      </c>
      <c r="F377" s="2" t="n">
        <v>0</v>
      </c>
      <c r="G377" s="2" t="n">
        <v>804</v>
      </c>
      <c r="H377" s="2" t="n">
        <v>1133</v>
      </c>
      <c r="I377" s="2" t="n">
        <v>0</v>
      </c>
      <c r="J377" s="2" t="n">
        <v>0</v>
      </c>
      <c r="K377" s="2" t="n">
        <v>0</v>
      </c>
      <c r="L377" s="2" t="n">
        <v>0</v>
      </c>
      <c r="M377" s="2" t="n">
        <v>0</v>
      </c>
      <c r="N377" s="2" t="n">
        <v>0</v>
      </c>
      <c r="O377" s="2" t="n">
        <v>0</v>
      </c>
      <c r="Q377" s="2" t="n">
        <f aca="false">F377+G377+H377</f>
        <v>1937</v>
      </c>
    </row>
    <row r="378" customFormat="false" ht="12.8" hidden="false" customHeight="false" outlineLevel="0" collapsed="false">
      <c r="A378" s="2" t="s">
        <v>252</v>
      </c>
      <c r="B378" s="2" t="s">
        <v>211</v>
      </c>
      <c r="C378" s="2" t="s">
        <v>223</v>
      </c>
      <c r="D378" s="2" t="n">
        <v>1309</v>
      </c>
      <c r="E378" s="2" t="n">
        <v>0</v>
      </c>
      <c r="F378" s="2" t="n">
        <v>0</v>
      </c>
      <c r="G378" s="2" t="n">
        <v>683</v>
      </c>
      <c r="H378" s="2" t="n">
        <v>1097</v>
      </c>
      <c r="I378" s="2" t="n">
        <v>0</v>
      </c>
      <c r="J378" s="2" t="n">
        <v>0</v>
      </c>
      <c r="K378" s="2" t="n">
        <v>0</v>
      </c>
      <c r="L378" s="2" t="n">
        <v>0</v>
      </c>
      <c r="M378" s="2" t="n">
        <v>0</v>
      </c>
      <c r="N378" s="2" t="n">
        <v>0</v>
      </c>
      <c r="O378" s="2" t="n">
        <v>0</v>
      </c>
      <c r="Q378" s="2" t="n">
        <f aca="false">F378+G378+H378</f>
        <v>1780</v>
      </c>
    </row>
    <row r="379" customFormat="false" ht="12.8" hidden="false" customHeight="false" outlineLevel="0" collapsed="false">
      <c r="A379" s="2" t="s">
        <v>252</v>
      </c>
      <c r="B379" s="2" t="s">
        <v>211</v>
      </c>
      <c r="C379" s="2" t="s">
        <v>224</v>
      </c>
      <c r="D379" s="2" t="n">
        <v>1282</v>
      </c>
      <c r="E379" s="2" t="n">
        <v>0</v>
      </c>
      <c r="F379" s="2" t="n">
        <v>0</v>
      </c>
      <c r="G379" s="2" t="n">
        <v>721</v>
      </c>
      <c r="H379" s="2" t="n">
        <v>986</v>
      </c>
      <c r="I379" s="2" t="n">
        <v>0</v>
      </c>
      <c r="J379" s="2" t="n">
        <v>0</v>
      </c>
      <c r="K379" s="2" t="n">
        <v>0</v>
      </c>
      <c r="L379" s="2" t="n">
        <v>0</v>
      </c>
      <c r="M379" s="2" t="n">
        <v>0</v>
      </c>
      <c r="N379" s="2" t="n">
        <v>0</v>
      </c>
      <c r="O379" s="2" t="n">
        <v>0</v>
      </c>
      <c r="Q379" s="2" t="n">
        <f aca="false">F379+G379+H379</f>
        <v>1707</v>
      </c>
    </row>
    <row r="380" customFormat="false" ht="12.8" hidden="false" customHeight="false" outlineLevel="0" collapsed="false">
      <c r="A380" s="2" t="s">
        <v>253</v>
      </c>
      <c r="B380" s="2" t="s">
        <v>211</v>
      </c>
      <c r="C380" s="2" t="s">
        <v>212</v>
      </c>
      <c r="D380" s="2" t="n">
        <v>0</v>
      </c>
      <c r="E380" s="2" t="n">
        <v>0</v>
      </c>
      <c r="F380" s="2" t="n">
        <v>0</v>
      </c>
      <c r="G380" s="2" t="n">
        <v>0</v>
      </c>
      <c r="H380" s="2" t="n">
        <v>0</v>
      </c>
      <c r="I380" s="2" t="n">
        <v>14</v>
      </c>
      <c r="J380" s="2" t="n">
        <v>0</v>
      </c>
      <c r="K380" s="2" t="n">
        <v>0</v>
      </c>
      <c r="L380" s="2" t="n">
        <v>0</v>
      </c>
      <c r="M380" s="2" t="n">
        <v>0</v>
      </c>
      <c r="N380" s="2" t="n">
        <v>0</v>
      </c>
      <c r="O380" s="2" t="n">
        <v>0</v>
      </c>
      <c r="Q380" s="2" t="n">
        <f aca="false">F380+G380+H380</f>
        <v>0</v>
      </c>
    </row>
    <row r="381" customFormat="false" ht="12.8" hidden="false" customHeight="false" outlineLevel="0" collapsed="false">
      <c r="A381" s="2" t="s">
        <v>253</v>
      </c>
      <c r="B381" s="2" t="s">
        <v>211</v>
      </c>
      <c r="C381" s="2" t="s">
        <v>213</v>
      </c>
      <c r="D381" s="2" t="n">
        <v>160</v>
      </c>
      <c r="E381" s="2" t="n">
        <v>0</v>
      </c>
      <c r="F381" s="2" t="n">
        <v>0</v>
      </c>
      <c r="G381" s="2" t="n">
        <v>99</v>
      </c>
      <c r="H381" s="2" t="n">
        <v>125</v>
      </c>
      <c r="I381" s="2" t="n">
        <v>106</v>
      </c>
      <c r="J381" s="2" t="n">
        <v>30</v>
      </c>
      <c r="K381" s="2" t="n">
        <v>107</v>
      </c>
      <c r="L381" s="2" t="n">
        <v>0</v>
      </c>
      <c r="M381" s="2" t="n">
        <v>0</v>
      </c>
      <c r="N381" s="2" t="n">
        <v>36</v>
      </c>
      <c r="O381" s="2" t="n">
        <v>0</v>
      </c>
      <c r="Q381" s="2" t="n">
        <f aca="false">F381+G381+H381</f>
        <v>224</v>
      </c>
    </row>
    <row r="382" customFormat="false" ht="12.8" hidden="false" customHeight="false" outlineLevel="0" collapsed="false">
      <c r="A382" s="2" t="s">
        <v>253</v>
      </c>
      <c r="B382" s="2" t="s">
        <v>211</v>
      </c>
      <c r="C382" s="2" t="s">
        <v>214</v>
      </c>
      <c r="D382" s="2" t="n">
        <v>265</v>
      </c>
      <c r="E382" s="2" t="n">
        <v>0</v>
      </c>
      <c r="F382" s="2" t="n">
        <v>0</v>
      </c>
      <c r="G382" s="2" t="n">
        <v>133</v>
      </c>
      <c r="H382" s="2" t="n">
        <v>276</v>
      </c>
      <c r="I382" s="2" t="n">
        <v>150</v>
      </c>
      <c r="J382" s="2" t="n">
        <v>51</v>
      </c>
      <c r="K382" s="2" t="n">
        <v>273</v>
      </c>
      <c r="L382" s="2" t="n">
        <v>0</v>
      </c>
      <c r="M382" s="2" t="n">
        <v>0</v>
      </c>
      <c r="N382" s="2" t="n">
        <v>100</v>
      </c>
      <c r="O382" s="2" t="n">
        <v>0</v>
      </c>
      <c r="Q382" s="2" t="n">
        <f aca="false">F382+G382+H382</f>
        <v>409</v>
      </c>
    </row>
    <row r="383" customFormat="false" ht="12.8" hidden="false" customHeight="false" outlineLevel="0" collapsed="false">
      <c r="A383" s="2" t="s">
        <v>253</v>
      </c>
      <c r="B383" s="2" t="s">
        <v>211</v>
      </c>
      <c r="C383" s="2" t="s">
        <v>215</v>
      </c>
      <c r="D383" s="2" t="n">
        <v>252</v>
      </c>
      <c r="E383" s="2" t="n">
        <v>0</v>
      </c>
      <c r="F383" s="2" t="n">
        <v>0</v>
      </c>
      <c r="G383" s="2" t="n">
        <v>129</v>
      </c>
      <c r="H383" s="2" t="n">
        <v>324</v>
      </c>
      <c r="I383" s="2" t="n">
        <v>217</v>
      </c>
      <c r="J383" s="2" t="n">
        <v>56</v>
      </c>
      <c r="K383" s="2" t="n">
        <v>307</v>
      </c>
      <c r="L383" s="2" t="n">
        <v>0</v>
      </c>
      <c r="M383" s="2" t="n">
        <v>0</v>
      </c>
      <c r="N383" s="2" t="n">
        <v>117</v>
      </c>
      <c r="O383" s="2" t="n">
        <v>23</v>
      </c>
      <c r="Q383" s="2" t="n">
        <f aca="false">F383+G383+H383</f>
        <v>453</v>
      </c>
    </row>
    <row r="384" customFormat="false" ht="12.8" hidden="false" customHeight="false" outlineLevel="0" collapsed="false">
      <c r="A384" s="2" t="s">
        <v>253</v>
      </c>
      <c r="B384" s="2" t="s">
        <v>211</v>
      </c>
      <c r="C384" s="2" t="s">
        <v>216</v>
      </c>
      <c r="D384" s="2" t="n">
        <v>353</v>
      </c>
      <c r="E384" s="2" t="n">
        <v>0</v>
      </c>
      <c r="F384" s="2" t="n">
        <v>0</v>
      </c>
      <c r="G384" s="2" t="n">
        <v>220</v>
      </c>
      <c r="H384" s="2" t="n">
        <v>435</v>
      </c>
      <c r="I384" s="2" t="n">
        <v>298</v>
      </c>
      <c r="J384" s="2" t="n">
        <v>109</v>
      </c>
      <c r="K384" s="2" t="n">
        <v>412</v>
      </c>
      <c r="L384" s="2" t="n">
        <v>0</v>
      </c>
      <c r="M384" s="2" t="n">
        <v>0</v>
      </c>
      <c r="N384" s="2" t="n">
        <v>158</v>
      </c>
      <c r="O384" s="2" t="n">
        <v>1</v>
      </c>
      <c r="Q384" s="2" t="n">
        <f aca="false">F384+G384+H384</f>
        <v>655</v>
      </c>
    </row>
    <row r="385" customFormat="false" ht="12.8" hidden="false" customHeight="false" outlineLevel="0" collapsed="false">
      <c r="A385" s="2" t="s">
        <v>253</v>
      </c>
      <c r="B385" s="2" t="s">
        <v>211</v>
      </c>
      <c r="C385" s="2" t="s">
        <v>217</v>
      </c>
      <c r="D385" s="2" t="n">
        <v>143</v>
      </c>
      <c r="E385" s="2" t="n">
        <v>0</v>
      </c>
      <c r="F385" s="2" t="n">
        <v>0</v>
      </c>
      <c r="G385" s="2" t="n">
        <v>2</v>
      </c>
      <c r="H385" s="2" t="n">
        <v>170</v>
      </c>
      <c r="I385" s="2" t="n">
        <v>100</v>
      </c>
      <c r="J385" s="2" t="n">
        <v>36</v>
      </c>
      <c r="K385" s="2" t="n">
        <v>58</v>
      </c>
      <c r="L385" s="2" t="n">
        <v>0</v>
      </c>
      <c r="M385" s="2" t="n">
        <v>29</v>
      </c>
      <c r="N385" s="2" t="n">
        <v>22</v>
      </c>
      <c r="O385" s="2" t="n">
        <v>0</v>
      </c>
      <c r="Q385" s="2" t="n">
        <f aca="false">F385+G385+H385</f>
        <v>172</v>
      </c>
    </row>
    <row r="386" customFormat="false" ht="12.8" hidden="false" customHeight="false" outlineLevel="0" collapsed="false">
      <c r="A386" s="2" t="s">
        <v>253</v>
      </c>
      <c r="B386" s="2" t="s">
        <v>211</v>
      </c>
      <c r="C386" s="2" t="s">
        <v>218</v>
      </c>
      <c r="D386" s="2" t="n">
        <v>233</v>
      </c>
      <c r="E386" s="2" t="n">
        <v>0</v>
      </c>
      <c r="F386" s="2" t="n">
        <v>0</v>
      </c>
      <c r="G386" s="2" t="n">
        <v>4</v>
      </c>
      <c r="H386" s="2" t="n">
        <v>284</v>
      </c>
      <c r="I386" s="2" t="n">
        <v>146</v>
      </c>
      <c r="J386" s="2" t="n">
        <v>67</v>
      </c>
      <c r="K386" s="2" t="n">
        <v>91</v>
      </c>
      <c r="L386" s="2" t="n">
        <v>0</v>
      </c>
      <c r="M386" s="2" t="n">
        <v>0</v>
      </c>
      <c r="N386" s="2" t="n">
        <v>17</v>
      </c>
      <c r="O386" s="2" t="n">
        <v>0</v>
      </c>
      <c r="Q386" s="2" t="n">
        <f aca="false">F386+G386+H386</f>
        <v>288</v>
      </c>
    </row>
    <row r="387" customFormat="false" ht="12.8" hidden="false" customHeight="false" outlineLevel="0" collapsed="false">
      <c r="A387" s="2" t="s">
        <v>253</v>
      </c>
      <c r="B387" s="2" t="s">
        <v>211</v>
      </c>
      <c r="C387" s="2" t="s">
        <v>219</v>
      </c>
      <c r="D387" s="2" t="n">
        <v>228</v>
      </c>
      <c r="E387" s="2" t="n">
        <v>0</v>
      </c>
      <c r="F387" s="2" t="n">
        <v>0</v>
      </c>
      <c r="G387" s="2" t="n">
        <v>10</v>
      </c>
      <c r="H387" s="2" t="n">
        <v>274</v>
      </c>
      <c r="I387" s="2" t="n">
        <v>153</v>
      </c>
      <c r="J387" s="2" t="n">
        <v>41</v>
      </c>
      <c r="K387" s="2" t="n">
        <v>111</v>
      </c>
      <c r="L387" s="2" t="n">
        <v>0</v>
      </c>
      <c r="M387" s="2" t="n">
        <v>0</v>
      </c>
      <c r="N387" s="2" t="n">
        <v>13</v>
      </c>
      <c r="O387" s="2" t="n">
        <v>0</v>
      </c>
      <c r="Q387" s="2" t="n">
        <f aca="false">F387+G387+H387</f>
        <v>284</v>
      </c>
    </row>
    <row r="388" customFormat="false" ht="12.8" hidden="false" customHeight="false" outlineLevel="0" collapsed="false">
      <c r="A388" s="2" t="s">
        <v>253</v>
      </c>
      <c r="B388" s="2" t="s">
        <v>211</v>
      </c>
      <c r="C388" s="2" t="s">
        <v>220</v>
      </c>
      <c r="D388" s="2" t="n">
        <v>146</v>
      </c>
      <c r="E388" s="2" t="n">
        <v>0</v>
      </c>
      <c r="F388" s="2" t="n">
        <v>0</v>
      </c>
      <c r="G388" s="2" t="n">
        <v>7</v>
      </c>
      <c r="H388" s="2" t="n">
        <v>188</v>
      </c>
      <c r="I388" s="2" t="n">
        <v>86</v>
      </c>
      <c r="J388" s="2" t="n">
        <v>29</v>
      </c>
      <c r="K388" s="2" t="n">
        <v>92</v>
      </c>
      <c r="L388" s="2" t="n">
        <v>0</v>
      </c>
      <c r="M388" s="2" t="n">
        <v>0</v>
      </c>
      <c r="N388" s="2" t="n">
        <v>6</v>
      </c>
      <c r="O388" s="2" t="n">
        <v>0</v>
      </c>
      <c r="Q388" s="2" t="n">
        <f aca="false">F388+G388+H388</f>
        <v>195</v>
      </c>
    </row>
    <row r="389" customFormat="false" ht="12.8" hidden="false" customHeight="false" outlineLevel="0" collapsed="false">
      <c r="A389" s="2" t="s">
        <v>253</v>
      </c>
      <c r="B389" s="2" t="s">
        <v>211</v>
      </c>
      <c r="C389" s="2" t="s">
        <v>221</v>
      </c>
      <c r="D389" s="2" t="n">
        <v>140</v>
      </c>
      <c r="E389" s="2" t="n">
        <v>0</v>
      </c>
      <c r="F389" s="2" t="n">
        <v>0</v>
      </c>
      <c r="G389" s="2" t="n">
        <v>1</v>
      </c>
      <c r="H389" s="2" t="n">
        <v>184</v>
      </c>
      <c r="I389" s="2" t="n">
        <v>104</v>
      </c>
      <c r="J389" s="2" t="n">
        <v>58</v>
      </c>
      <c r="K389" s="2" t="n">
        <v>29</v>
      </c>
      <c r="L389" s="2" t="n">
        <v>0</v>
      </c>
      <c r="M389" s="2" t="n">
        <v>0</v>
      </c>
      <c r="N389" s="2" t="n">
        <v>7</v>
      </c>
      <c r="O389" s="2" t="n">
        <v>0</v>
      </c>
      <c r="Q389" s="2" t="n">
        <f aca="false">F389+G389+H389</f>
        <v>185</v>
      </c>
    </row>
    <row r="390" customFormat="false" ht="12.8" hidden="false" customHeight="false" outlineLevel="0" collapsed="false">
      <c r="A390" s="2" t="s">
        <v>253</v>
      </c>
      <c r="B390" s="2" t="s">
        <v>211</v>
      </c>
      <c r="C390" s="2" t="s">
        <v>222</v>
      </c>
      <c r="D390" s="2" t="n">
        <v>191</v>
      </c>
      <c r="E390" s="2" t="n">
        <v>0</v>
      </c>
      <c r="F390" s="2" t="n">
        <v>0</v>
      </c>
      <c r="G390" s="2" t="n">
        <v>4</v>
      </c>
      <c r="H390" s="2" t="n">
        <v>249</v>
      </c>
      <c r="I390" s="2" t="n">
        <v>154</v>
      </c>
      <c r="J390" s="2" t="n">
        <v>52</v>
      </c>
      <c r="K390" s="2" t="n">
        <v>57</v>
      </c>
      <c r="L390" s="2" t="n">
        <v>0</v>
      </c>
      <c r="M390" s="2" t="n">
        <v>0</v>
      </c>
      <c r="N390" s="2" t="n">
        <v>17</v>
      </c>
      <c r="O390" s="2" t="n">
        <v>0</v>
      </c>
      <c r="Q390" s="2" t="n">
        <f aca="false">F390+G390+H390</f>
        <v>253</v>
      </c>
    </row>
    <row r="391" customFormat="false" ht="12.8" hidden="false" customHeight="false" outlineLevel="0" collapsed="false">
      <c r="A391" s="2" t="s">
        <v>253</v>
      </c>
      <c r="B391" s="2" t="s">
        <v>211</v>
      </c>
      <c r="C391" s="2" t="s">
        <v>223</v>
      </c>
      <c r="D391" s="2" t="n">
        <v>234</v>
      </c>
      <c r="E391" s="2" t="n">
        <v>0</v>
      </c>
      <c r="F391" s="2" t="n">
        <v>0</v>
      </c>
      <c r="G391" s="2" t="n">
        <v>8</v>
      </c>
      <c r="H391" s="2" t="n">
        <v>296</v>
      </c>
      <c r="I391" s="2" t="n">
        <v>188</v>
      </c>
      <c r="J391" s="2" t="n">
        <v>60</v>
      </c>
      <c r="K391" s="2" t="n">
        <v>80</v>
      </c>
      <c r="L391" s="2" t="n">
        <v>0</v>
      </c>
      <c r="M391" s="2" t="n">
        <v>0</v>
      </c>
      <c r="N391" s="2" t="n">
        <v>26</v>
      </c>
      <c r="O391" s="2" t="n">
        <v>0</v>
      </c>
      <c r="Q391" s="2" t="n">
        <f aca="false">F391+G391+H391</f>
        <v>304</v>
      </c>
    </row>
    <row r="392" customFormat="false" ht="12.8" hidden="false" customHeight="false" outlineLevel="0" collapsed="false">
      <c r="A392" s="2" t="s">
        <v>253</v>
      </c>
      <c r="B392" s="2" t="s">
        <v>211</v>
      </c>
      <c r="C392" s="2" t="s">
        <v>224</v>
      </c>
      <c r="D392" s="2" t="n">
        <v>183</v>
      </c>
      <c r="E392" s="2" t="n">
        <v>0</v>
      </c>
      <c r="F392" s="2" t="n">
        <v>0</v>
      </c>
      <c r="G392" s="2" t="n">
        <v>11</v>
      </c>
      <c r="H392" s="2" t="n">
        <v>247</v>
      </c>
      <c r="I392" s="2" t="n">
        <v>142</v>
      </c>
      <c r="J392" s="2" t="n">
        <v>50</v>
      </c>
      <c r="K392" s="2" t="n">
        <v>86</v>
      </c>
      <c r="L392" s="2" t="n">
        <v>0</v>
      </c>
      <c r="M392" s="2" t="n">
        <v>0</v>
      </c>
      <c r="N392" s="2" t="n">
        <v>25</v>
      </c>
      <c r="O392" s="2" t="n">
        <v>0</v>
      </c>
      <c r="Q392" s="2" t="n">
        <f aca="false">F392+G392+H392</f>
        <v>258</v>
      </c>
    </row>
    <row r="393" customFormat="false" ht="12.8" hidden="false" customHeight="false" outlineLevel="0" collapsed="false">
      <c r="A393" s="2" t="s">
        <v>254</v>
      </c>
      <c r="B393" s="2" t="s">
        <v>211</v>
      </c>
      <c r="C393" s="2" t="s">
        <v>212</v>
      </c>
      <c r="D393" s="2" t="n">
        <v>466</v>
      </c>
      <c r="E393" s="2" t="n">
        <v>0</v>
      </c>
      <c r="F393" s="2" t="n">
        <v>0</v>
      </c>
      <c r="G393" s="2" t="n">
        <v>393</v>
      </c>
      <c r="H393" s="2" t="n">
        <v>277</v>
      </c>
      <c r="I393" s="2" t="n">
        <v>454</v>
      </c>
      <c r="J393" s="2" t="n">
        <v>0</v>
      </c>
      <c r="K393" s="2" t="n">
        <v>65</v>
      </c>
      <c r="L393" s="2" t="n">
        <v>0</v>
      </c>
      <c r="M393" s="2" t="n">
        <v>43</v>
      </c>
      <c r="N393" s="2" t="n">
        <v>48</v>
      </c>
      <c r="O393" s="2" t="n">
        <v>450</v>
      </c>
      <c r="Q393" s="2" t="n">
        <f aca="false">F393+G393+H393</f>
        <v>670</v>
      </c>
    </row>
    <row r="394" customFormat="false" ht="12.8" hidden="false" customHeight="false" outlineLevel="0" collapsed="false">
      <c r="A394" s="2" t="s">
        <v>254</v>
      </c>
      <c r="B394" s="2" t="s">
        <v>211</v>
      </c>
      <c r="C394" s="2" t="s">
        <v>213</v>
      </c>
      <c r="D394" s="2" t="n">
        <v>597</v>
      </c>
      <c r="E394" s="2" t="n">
        <v>0</v>
      </c>
      <c r="F394" s="2" t="n">
        <v>0</v>
      </c>
      <c r="G394" s="2" t="n">
        <v>753</v>
      </c>
      <c r="H394" s="2" t="n">
        <v>716</v>
      </c>
      <c r="I394" s="2" t="n">
        <v>1557</v>
      </c>
      <c r="J394" s="2" t="n">
        <v>116</v>
      </c>
      <c r="K394" s="2" t="n">
        <v>609</v>
      </c>
      <c r="L394" s="2" t="n">
        <v>0</v>
      </c>
      <c r="M394" s="2" t="n">
        <v>150</v>
      </c>
      <c r="N394" s="2" t="n">
        <v>316</v>
      </c>
      <c r="O394" s="2" t="n">
        <v>1735</v>
      </c>
      <c r="Q394" s="2" t="n">
        <f aca="false">F394+G394+H394</f>
        <v>1469</v>
      </c>
    </row>
    <row r="395" customFormat="false" ht="12.8" hidden="false" customHeight="false" outlineLevel="0" collapsed="false">
      <c r="A395" s="2" t="s">
        <v>254</v>
      </c>
      <c r="B395" s="2" t="s">
        <v>211</v>
      </c>
      <c r="C395" s="2" t="s">
        <v>214</v>
      </c>
      <c r="D395" s="2" t="n">
        <v>585</v>
      </c>
      <c r="E395" s="2" t="n">
        <v>0</v>
      </c>
      <c r="F395" s="2" t="n">
        <v>0</v>
      </c>
      <c r="G395" s="2" t="n">
        <v>724</v>
      </c>
      <c r="H395" s="2" t="n">
        <v>963</v>
      </c>
      <c r="I395" s="2" t="n">
        <v>1784</v>
      </c>
      <c r="J395" s="2" t="n">
        <v>77</v>
      </c>
      <c r="K395" s="2" t="n">
        <v>815</v>
      </c>
      <c r="L395" s="2" t="n">
        <v>0</v>
      </c>
      <c r="M395" s="2" t="n">
        <v>248</v>
      </c>
      <c r="N395" s="2" t="n">
        <v>367</v>
      </c>
      <c r="O395" s="2" t="n">
        <v>1942</v>
      </c>
      <c r="Q395" s="2" t="n">
        <f aca="false">F395+G395+H395</f>
        <v>1687</v>
      </c>
    </row>
    <row r="396" customFormat="false" ht="12.8" hidden="false" customHeight="false" outlineLevel="0" collapsed="false">
      <c r="A396" s="2" t="s">
        <v>254</v>
      </c>
      <c r="B396" s="2" t="s">
        <v>211</v>
      </c>
      <c r="C396" s="2" t="s">
        <v>215</v>
      </c>
      <c r="D396" s="2" t="n">
        <v>512</v>
      </c>
      <c r="E396" s="2" t="n">
        <v>0</v>
      </c>
      <c r="F396" s="2" t="n">
        <v>0</v>
      </c>
      <c r="G396" s="2" t="n">
        <v>732</v>
      </c>
      <c r="H396" s="2" t="n">
        <v>934</v>
      </c>
      <c r="I396" s="2" t="n">
        <v>1082</v>
      </c>
      <c r="J396" s="2" t="n">
        <v>10</v>
      </c>
      <c r="K396" s="2" t="n">
        <v>970</v>
      </c>
      <c r="L396" s="2" t="n">
        <v>0</v>
      </c>
      <c r="M396" s="2" t="n">
        <v>169</v>
      </c>
      <c r="N396" s="2" t="n">
        <v>299</v>
      </c>
      <c r="O396" s="2" t="n">
        <v>1512</v>
      </c>
      <c r="Q396" s="2" t="n">
        <f aca="false">F396+G396+H396</f>
        <v>1666</v>
      </c>
    </row>
    <row r="397" customFormat="false" ht="12.8" hidden="false" customHeight="false" outlineLevel="0" collapsed="false">
      <c r="A397" s="2" t="s">
        <v>254</v>
      </c>
      <c r="B397" s="2" t="s">
        <v>211</v>
      </c>
      <c r="C397" s="2" t="s">
        <v>216</v>
      </c>
      <c r="D397" s="2" t="n">
        <v>564</v>
      </c>
      <c r="E397" s="2" t="n">
        <v>0</v>
      </c>
      <c r="F397" s="2" t="n">
        <v>0</v>
      </c>
      <c r="G397" s="2" t="n">
        <v>778</v>
      </c>
      <c r="H397" s="2" t="n">
        <v>1188</v>
      </c>
      <c r="I397" s="2" t="n">
        <v>972</v>
      </c>
      <c r="J397" s="2" t="n">
        <v>0</v>
      </c>
      <c r="K397" s="2" t="n">
        <v>1262</v>
      </c>
      <c r="L397" s="2" t="n">
        <v>0</v>
      </c>
      <c r="M397" s="2" t="n">
        <v>259</v>
      </c>
      <c r="N397" s="2" t="n">
        <v>391</v>
      </c>
      <c r="O397" s="2" t="n">
        <v>1591</v>
      </c>
      <c r="Q397" s="2" t="n">
        <f aca="false">F397+G397+H397</f>
        <v>1966</v>
      </c>
    </row>
    <row r="398" customFormat="false" ht="12.8" hidden="false" customHeight="false" outlineLevel="0" collapsed="false">
      <c r="A398" s="2" t="s">
        <v>254</v>
      </c>
      <c r="B398" s="2" t="s">
        <v>211</v>
      </c>
      <c r="C398" s="2" t="s">
        <v>217</v>
      </c>
      <c r="D398" s="2" t="n">
        <v>418</v>
      </c>
      <c r="E398" s="2" t="n">
        <v>0</v>
      </c>
      <c r="F398" s="2" t="n">
        <v>0</v>
      </c>
      <c r="G398" s="2" t="n">
        <v>445</v>
      </c>
      <c r="H398" s="2" t="n">
        <v>375</v>
      </c>
      <c r="I398" s="2" t="n">
        <v>449</v>
      </c>
      <c r="J398" s="2" t="n">
        <v>26</v>
      </c>
      <c r="K398" s="2" t="n">
        <v>147</v>
      </c>
      <c r="L398" s="2" t="n">
        <v>0</v>
      </c>
      <c r="M398" s="2" t="n">
        <v>38</v>
      </c>
      <c r="N398" s="2" t="n">
        <v>47</v>
      </c>
      <c r="O398" s="2" t="n">
        <v>525</v>
      </c>
      <c r="Q398" s="2" t="n">
        <f aca="false">F398+G398+H398</f>
        <v>820</v>
      </c>
    </row>
    <row r="399" customFormat="false" ht="12.8" hidden="false" customHeight="false" outlineLevel="0" collapsed="false">
      <c r="A399" s="2" t="s">
        <v>254</v>
      </c>
      <c r="B399" s="2" t="s">
        <v>211</v>
      </c>
      <c r="C399" s="2" t="s">
        <v>218</v>
      </c>
      <c r="D399" s="2" t="n">
        <v>493</v>
      </c>
      <c r="E399" s="2" t="n">
        <v>0</v>
      </c>
      <c r="F399" s="2" t="n">
        <v>0</v>
      </c>
      <c r="G399" s="2" t="n">
        <v>472</v>
      </c>
      <c r="H399" s="2" t="n">
        <v>295</v>
      </c>
      <c r="I399" s="2" t="n">
        <v>598</v>
      </c>
      <c r="J399" s="2" t="n">
        <v>34</v>
      </c>
      <c r="K399" s="2" t="n">
        <v>120</v>
      </c>
      <c r="L399" s="2" t="n">
        <v>0</v>
      </c>
      <c r="M399" s="2" t="n">
        <v>60</v>
      </c>
      <c r="N399" s="2" t="n">
        <v>83</v>
      </c>
      <c r="O399" s="2" t="n">
        <v>473</v>
      </c>
      <c r="Q399" s="2" t="n">
        <f aca="false">F399+G399+H399</f>
        <v>767</v>
      </c>
    </row>
    <row r="400" customFormat="false" ht="12.8" hidden="false" customHeight="false" outlineLevel="0" collapsed="false">
      <c r="A400" s="2" t="s">
        <v>254</v>
      </c>
      <c r="B400" s="2" t="s">
        <v>211</v>
      </c>
      <c r="C400" s="2" t="s">
        <v>219</v>
      </c>
      <c r="D400" s="2" t="n">
        <v>413</v>
      </c>
      <c r="E400" s="2" t="n">
        <v>0</v>
      </c>
      <c r="F400" s="2" t="n">
        <v>0</v>
      </c>
      <c r="G400" s="2" t="n">
        <v>407</v>
      </c>
      <c r="H400" s="2" t="n">
        <v>293</v>
      </c>
      <c r="I400" s="2" t="n">
        <v>543</v>
      </c>
      <c r="J400" s="2" t="n">
        <v>23</v>
      </c>
      <c r="K400" s="2" t="n">
        <v>257</v>
      </c>
      <c r="L400" s="2" t="n">
        <v>0</v>
      </c>
      <c r="M400" s="2" t="n">
        <v>77</v>
      </c>
      <c r="N400" s="2" t="n">
        <v>88</v>
      </c>
      <c r="O400" s="2" t="n">
        <v>464</v>
      </c>
      <c r="Q400" s="2" t="n">
        <f aca="false">F400+G400+H400</f>
        <v>700</v>
      </c>
    </row>
    <row r="401" customFormat="false" ht="12.8" hidden="false" customHeight="false" outlineLevel="0" collapsed="false">
      <c r="A401" s="2" t="s">
        <v>254</v>
      </c>
      <c r="B401" s="2" t="s">
        <v>211</v>
      </c>
      <c r="C401" s="2" t="s">
        <v>220</v>
      </c>
      <c r="D401" s="2" t="n">
        <v>429</v>
      </c>
      <c r="E401" s="2" t="n">
        <v>0</v>
      </c>
      <c r="F401" s="2" t="n">
        <v>0</v>
      </c>
      <c r="G401" s="2" t="n">
        <v>486</v>
      </c>
      <c r="H401" s="2" t="n">
        <v>370</v>
      </c>
      <c r="I401" s="2" t="n">
        <v>562</v>
      </c>
      <c r="J401" s="2" t="n">
        <v>4</v>
      </c>
      <c r="K401" s="2" t="n">
        <v>430</v>
      </c>
      <c r="L401" s="2" t="n">
        <v>0</v>
      </c>
      <c r="M401" s="2" t="n">
        <v>63</v>
      </c>
      <c r="N401" s="2" t="n">
        <v>105</v>
      </c>
      <c r="O401" s="2" t="n">
        <v>576</v>
      </c>
      <c r="Q401" s="2" t="n">
        <f aca="false">F401+G401+H401</f>
        <v>856</v>
      </c>
    </row>
    <row r="402" customFormat="false" ht="12.8" hidden="false" customHeight="false" outlineLevel="0" collapsed="false">
      <c r="A402" s="2" t="s">
        <v>254</v>
      </c>
      <c r="B402" s="2" t="s">
        <v>211</v>
      </c>
      <c r="C402" s="2" t="s">
        <v>221</v>
      </c>
      <c r="D402" s="2" t="n">
        <v>444</v>
      </c>
      <c r="E402" s="2" t="n">
        <v>0</v>
      </c>
      <c r="F402" s="2" t="n">
        <v>0</v>
      </c>
      <c r="G402" s="2" t="n">
        <v>536</v>
      </c>
      <c r="H402" s="2" t="n">
        <v>343</v>
      </c>
      <c r="I402" s="2" t="n">
        <v>568</v>
      </c>
      <c r="J402" s="2" t="n">
        <v>35</v>
      </c>
      <c r="K402" s="2" t="n">
        <v>261</v>
      </c>
      <c r="L402" s="2" t="n">
        <v>0</v>
      </c>
      <c r="M402" s="2" t="n">
        <v>89</v>
      </c>
      <c r="N402" s="2" t="n">
        <v>110</v>
      </c>
      <c r="O402" s="2" t="n">
        <v>623</v>
      </c>
      <c r="Q402" s="2" t="n">
        <f aca="false">F402+G402+H402</f>
        <v>879</v>
      </c>
    </row>
    <row r="403" customFormat="false" ht="12.8" hidden="false" customHeight="false" outlineLevel="0" collapsed="false">
      <c r="A403" s="2" t="s">
        <v>254</v>
      </c>
      <c r="B403" s="2" t="s">
        <v>211</v>
      </c>
      <c r="C403" s="2" t="s">
        <v>222</v>
      </c>
      <c r="D403" s="2" t="n">
        <v>500</v>
      </c>
      <c r="E403" s="2" t="n">
        <v>0</v>
      </c>
      <c r="F403" s="2" t="n">
        <v>0</v>
      </c>
      <c r="G403" s="2" t="n">
        <v>532</v>
      </c>
      <c r="H403" s="2" t="n">
        <v>420</v>
      </c>
      <c r="I403" s="2" t="n">
        <v>886</v>
      </c>
      <c r="J403" s="2" t="n">
        <v>20</v>
      </c>
      <c r="K403" s="2" t="n">
        <v>405</v>
      </c>
      <c r="L403" s="2" t="n">
        <v>0</v>
      </c>
      <c r="M403" s="2" t="n">
        <v>79</v>
      </c>
      <c r="N403" s="2" t="n">
        <v>208</v>
      </c>
      <c r="O403" s="2" t="n">
        <v>660</v>
      </c>
      <c r="Q403" s="2" t="n">
        <f aca="false">F403+G403+H403</f>
        <v>952</v>
      </c>
    </row>
    <row r="404" customFormat="false" ht="12.8" hidden="false" customHeight="false" outlineLevel="0" collapsed="false">
      <c r="A404" s="2" t="s">
        <v>254</v>
      </c>
      <c r="B404" s="2" t="s">
        <v>211</v>
      </c>
      <c r="C404" s="2" t="s">
        <v>223</v>
      </c>
      <c r="D404" s="2" t="n">
        <v>495</v>
      </c>
      <c r="E404" s="2" t="n">
        <v>0</v>
      </c>
      <c r="F404" s="2" t="n">
        <v>0</v>
      </c>
      <c r="G404" s="2" t="n">
        <v>512</v>
      </c>
      <c r="H404" s="2" t="n">
        <v>438</v>
      </c>
      <c r="I404" s="2" t="n">
        <v>1265</v>
      </c>
      <c r="J404" s="2" t="n">
        <v>86</v>
      </c>
      <c r="K404" s="2" t="n">
        <v>605</v>
      </c>
      <c r="L404" s="2" t="n">
        <v>0</v>
      </c>
      <c r="M404" s="2" t="n">
        <v>55</v>
      </c>
      <c r="N404" s="2" t="n">
        <v>232</v>
      </c>
      <c r="O404" s="2" t="n">
        <v>1203</v>
      </c>
      <c r="Q404" s="2" t="n">
        <f aca="false">F404+G404+H404</f>
        <v>950</v>
      </c>
    </row>
    <row r="405" customFormat="false" ht="12.8" hidden="false" customHeight="false" outlineLevel="0" collapsed="false">
      <c r="A405" s="2" t="s">
        <v>254</v>
      </c>
      <c r="B405" s="2" t="s">
        <v>211</v>
      </c>
      <c r="C405" s="2" t="s">
        <v>224</v>
      </c>
      <c r="D405" s="2" t="n">
        <v>480</v>
      </c>
      <c r="E405" s="2" t="n">
        <v>0</v>
      </c>
      <c r="F405" s="2" t="n">
        <v>0</v>
      </c>
      <c r="G405" s="2" t="n">
        <v>550</v>
      </c>
      <c r="H405" s="2" t="n">
        <v>418</v>
      </c>
      <c r="I405" s="2" t="n">
        <v>1355</v>
      </c>
      <c r="J405" s="2" t="n">
        <v>80</v>
      </c>
      <c r="K405" s="2" t="n">
        <v>608</v>
      </c>
      <c r="L405" s="2" t="n">
        <v>0</v>
      </c>
      <c r="M405" s="2" t="n">
        <v>33</v>
      </c>
      <c r="N405" s="2" t="n">
        <v>267</v>
      </c>
      <c r="O405" s="2" t="n">
        <v>1298</v>
      </c>
      <c r="Q405" s="2" t="n">
        <f aca="false">F405+G405+H405</f>
        <v>968</v>
      </c>
    </row>
    <row r="406" customFormat="false" ht="12.8" hidden="false" customHeight="false" outlineLevel="0" collapsed="false">
      <c r="A406" s="2" t="s">
        <v>255</v>
      </c>
      <c r="B406" s="2" t="s">
        <v>211</v>
      </c>
      <c r="C406" s="2" t="s">
        <v>212</v>
      </c>
      <c r="D406" s="2" t="n">
        <v>0</v>
      </c>
      <c r="E406" s="2" t="n">
        <v>0</v>
      </c>
      <c r="F406" s="2" t="n">
        <v>0</v>
      </c>
      <c r="G406" s="2" t="n">
        <v>0</v>
      </c>
      <c r="H406" s="2" t="n">
        <v>0</v>
      </c>
      <c r="I406" s="2" t="n">
        <v>0</v>
      </c>
      <c r="J406" s="2" t="n">
        <v>0</v>
      </c>
      <c r="K406" s="2" t="n">
        <v>0</v>
      </c>
      <c r="L406" s="2" t="n">
        <v>0</v>
      </c>
      <c r="M406" s="2" t="n">
        <v>0</v>
      </c>
      <c r="N406" s="2" t="n">
        <v>0</v>
      </c>
      <c r="O406" s="2" t="n">
        <v>0</v>
      </c>
      <c r="Q406" s="2" t="n">
        <f aca="false">F406+G406+H406</f>
        <v>0</v>
      </c>
    </row>
    <row r="407" customFormat="false" ht="12.8" hidden="false" customHeight="false" outlineLevel="0" collapsed="false">
      <c r="A407" s="2" t="s">
        <v>255</v>
      </c>
      <c r="B407" s="2" t="s">
        <v>211</v>
      </c>
      <c r="C407" s="2" t="s">
        <v>213</v>
      </c>
      <c r="D407" s="2" t="n">
        <v>14</v>
      </c>
      <c r="E407" s="2" t="n">
        <v>0</v>
      </c>
      <c r="F407" s="2" t="n">
        <v>0</v>
      </c>
      <c r="G407" s="2" t="n">
        <v>0</v>
      </c>
      <c r="H407" s="2" t="n">
        <v>46</v>
      </c>
      <c r="I407" s="2" t="n">
        <v>18</v>
      </c>
      <c r="J407" s="2" t="n">
        <v>0</v>
      </c>
      <c r="K407" s="2" t="n">
        <v>46</v>
      </c>
      <c r="L407" s="2" t="n">
        <v>0</v>
      </c>
      <c r="M407" s="2" t="n">
        <v>0</v>
      </c>
      <c r="N407" s="2" t="n">
        <v>27</v>
      </c>
      <c r="O407" s="2" t="n">
        <v>45</v>
      </c>
      <c r="Q407" s="2" t="n">
        <f aca="false">F407+G407+H407</f>
        <v>46</v>
      </c>
    </row>
    <row r="408" customFormat="false" ht="12.8" hidden="false" customHeight="false" outlineLevel="0" collapsed="false">
      <c r="A408" s="2" t="s">
        <v>255</v>
      </c>
      <c r="B408" s="2" t="s">
        <v>211</v>
      </c>
      <c r="C408" s="2" t="s">
        <v>214</v>
      </c>
      <c r="D408" s="2" t="n">
        <v>21</v>
      </c>
      <c r="E408" s="2" t="n">
        <v>0</v>
      </c>
      <c r="F408" s="2" t="n">
        <v>0</v>
      </c>
      <c r="G408" s="2" t="n">
        <v>0</v>
      </c>
      <c r="H408" s="2" t="n">
        <v>75</v>
      </c>
      <c r="I408" s="2" t="n">
        <v>32</v>
      </c>
      <c r="J408" s="2" t="n">
        <v>0</v>
      </c>
      <c r="K408" s="2" t="n">
        <v>73</v>
      </c>
      <c r="L408" s="2" t="n">
        <v>0</v>
      </c>
      <c r="M408" s="2" t="n">
        <v>2</v>
      </c>
      <c r="N408" s="2" t="n">
        <v>42</v>
      </c>
      <c r="O408" s="2" t="n">
        <v>89</v>
      </c>
      <c r="Q408" s="2" t="n">
        <f aca="false">F408+G408+H408</f>
        <v>75</v>
      </c>
    </row>
    <row r="409" customFormat="false" ht="12.8" hidden="false" customHeight="false" outlineLevel="0" collapsed="false">
      <c r="A409" s="2" t="s">
        <v>255</v>
      </c>
      <c r="B409" s="2" t="s">
        <v>211</v>
      </c>
      <c r="C409" s="2" t="s">
        <v>215</v>
      </c>
      <c r="D409" s="2" t="n">
        <v>25</v>
      </c>
      <c r="E409" s="2" t="n">
        <v>0</v>
      </c>
      <c r="F409" s="2" t="n">
        <v>0</v>
      </c>
      <c r="G409" s="2" t="n">
        <v>1</v>
      </c>
      <c r="H409" s="2" t="n">
        <v>72</v>
      </c>
      <c r="I409" s="2" t="n">
        <v>30</v>
      </c>
      <c r="J409" s="2" t="n">
        <v>0</v>
      </c>
      <c r="K409" s="2" t="n">
        <v>67</v>
      </c>
      <c r="L409" s="2" t="n">
        <v>0</v>
      </c>
      <c r="M409" s="2" t="n">
        <v>7</v>
      </c>
      <c r="N409" s="2" t="n">
        <v>42</v>
      </c>
      <c r="O409" s="2" t="n">
        <v>89</v>
      </c>
      <c r="Q409" s="2" t="n">
        <f aca="false">F409+G409+H409</f>
        <v>73</v>
      </c>
    </row>
    <row r="410" customFormat="false" ht="12.8" hidden="false" customHeight="false" outlineLevel="0" collapsed="false">
      <c r="A410" s="2" t="s">
        <v>255</v>
      </c>
      <c r="B410" s="2" t="s">
        <v>211</v>
      </c>
      <c r="C410" s="2" t="s">
        <v>216</v>
      </c>
      <c r="D410" s="2" t="n">
        <v>15</v>
      </c>
      <c r="E410" s="2" t="n">
        <v>0</v>
      </c>
      <c r="F410" s="2" t="n">
        <v>0</v>
      </c>
      <c r="G410" s="2" t="n">
        <v>0</v>
      </c>
      <c r="H410" s="2" t="n">
        <v>95</v>
      </c>
      <c r="I410" s="2" t="n">
        <v>19</v>
      </c>
      <c r="J410" s="2" t="n">
        <v>0</v>
      </c>
      <c r="K410" s="2" t="n">
        <v>73</v>
      </c>
      <c r="L410" s="2" t="n">
        <v>0</v>
      </c>
      <c r="M410" s="2" t="n">
        <v>20</v>
      </c>
      <c r="N410" s="2" t="n">
        <v>68</v>
      </c>
      <c r="O410" s="2" t="n">
        <v>71</v>
      </c>
      <c r="Q410" s="2" t="n">
        <f aca="false">F410+G410+H410</f>
        <v>95</v>
      </c>
    </row>
    <row r="411" customFormat="false" ht="12.8" hidden="false" customHeight="false" outlineLevel="0" collapsed="false">
      <c r="A411" s="2" t="s">
        <v>255</v>
      </c>
      <c r="B411" s="2" t="s">
        <v>211</v>
      </c>
      <c r="C411" s="2" t="s">
        <v>217</v>
      </c>
      <c r="D411" s="2" t="n">
        <v>0</v>
      </c>
      <c r="E411" s="2" t="n">
        <v>0</v>
      </c>
      <c r="F411" s="2" t="n">
        <v>0</v>
      </c>
      <c r="G411" s="2" t="n">
        <v>0</v>
      </c>
      <c r="H411" s="2" t="n">
        <v>0</v>
      </c>
      <c r="I411" s="2" t="n">
        <v>0</v>
      </c>
      <c r="J411" s="2" t="n">
        <v>0</v>
      </c>
      <c r="K411" s="2" t="n">
        <v>0</v>
      </c>
      <c r="L411" s="2" t="n">
        <v>0</v>
      </c>
      <c r="M411" s="2" t="n">
        <v>0</v>
      </c>
      <c r="N411" s="2" t="n">
        <v>0</v>
      </c>
      <c r="O411" s="2" t="n">
        <v>0</v>
      </c>
      <c r="Q411" s="2" t="n">
        <f aca="false">F411+G411+H411</f>
        <v>0</v>
      </c>
    </row>
    <row r="412" customFormat="false" ht="12.8" hidden="false" customHeight="false" outlineLevel="0" collapsed="false">
      <c r="A412" s="2" t="s">
        <v>255</v>
      </c>
      <c r="B412" s="2" t="s">
        <v>211</v>
      </c>
      <c r="C412" s="2" t="s">
        <v>218</v>
      </c>
      <c r="D412" s="2" t="n">
        <v>0</v>
      </c>
      <c r="E412" s="2" t="n">
        <v>0</v>
      </c>
      <c r="F412" s="2" t="n">
        <v>0</v>
      </c>
      <c r="G412" s="2" t="n">
        <v>0</v>
      </c>
      <c r="H412" s="2" t="n">
        <v>0</v>
      </c>
      <c r="I412" s="2" t="n">
        <v>1</v>
      </c>
      <c r="J412" s="2" t="n">
        <v>0</v>
      </c>
      <c r="K412" s="2" t="n">
        <v>2</v>
      </c>
      <c r="L412" s="2" t="n">
        <v>0</v>
      </c>
      <c r="M412" s="2" t="n">
        <v>0</v>
      </c>
      <c r="N412" s="2" t="n">
        <v>0</v>
      </c>
      <c r="O412" s="2" t="n">
        <v>0</v>
      </c>
      <c r="Q412" s="2" t="n">
        <f aca="false">F412+G412+H412</f>
        <v>0</v>
      </c>
    </row>
    <row r="413" customFormat="false" ht="12.8" hidden="false" customHeight="false" outlineLevel="0" collapsed="false">
      <c r="A413" s="2" t="s">
        <v>255</v>
      </c>
      <c r="B413" s="2" t="s">
        <v>211</v>
      </c>
      <c r="C413" s="2" t="s">
        <v>219</v>
      </c>
      <c r="D413" s="2" t="n">
        <v>0</v>
      </c>
      <c r="E413" s="2" t="n">
        <v>0</v>
      </c>
      <c r="F413" s="2" t="n">
        <v>0</v>
      </c>
      <c r="G413" s="2" t="n">
        <v>0</v>
      </c>
      <c r="H413" s="2" t="n">
        <v>0</v>
      </c>
      <c r="I413" s="2" t="n">
        <v>1</v>
      </c>
      <c r="J413" s="2" t="n">
        <v>0</v>
      </c>
      <c r="K413" s="2" t="n">
        <v>4</v>
      </c>
      <c r="L413" s="2" t="n">
        <v>0</v>
      </c>
      <c r="M413" s="2" t="n">
        <v>0</v>
      </c>
      <c r="N413" s="2" t="n">
        <v>0</v>
      </c>
      <c r="O413" s="2" t="n">
        <v>0</v>
      </c>
      <c r="Q413" s="2" t="n">
        <f aca="false">F413+G413+H413</f>
        <v>0</v>
      </c>
    </row>
    <row r="414" customFormat="false" ht="12.8" hidden="false" customHeight="false" outlineLevel="0" collapsed="false">
      <c r="A414" s="2" t="s">
        <v>255</v>
      </c>
      <c r="B414" s="2" t="s">
        <v>211</v>
      </c>
      <c r="C414" s="2" t="s">
        <v>220</v>
      </c>
      <c r="D414" s="2" t="n">
        <v>0</v>
      </c>
      <c r="E414" s="2" t="n">
        <v>0</v>
      </c>
      <c r="F414" s="2" t="n">
        <v>0</v>
      </c>
      <c r="G414" s="2" t="n">
        <v>0</v>
      </c>
      <c r="H414" s="2" t="n">
        <v>0</v>
      </c>
      <c r="I414" s="2" t="n">
        <v>5</v>
      </c>
      <c r="J414" s="2" t="n">
        <v>0</v>
      </c>
      <c r="K414" s="2" t="n">
        <v>10</v>
      </c>
      <c r="L414" s="2" t="n">
        <v>0</v>
      </c>
      <c r="M414" s="2" t="n">
        <v>0</v>
      </c>
      <c r="N414" s="2" t="n">
        <v>0</v>
      </c>
      <c r="O414" s="2" t="n">
        <v>0</v>
      </c>
      <c r="Q414" s="2" t="n">
        <f aca="false">F414+G414+H414</f>
        <v>0</v>
      </c>
    </row>
    <row r="415" customFormat="false" ht="12.8" hidden="false" customHeight="false" outlineLevel="0" collapsed="false">
      <c r="A415" s="2" t="s">
        <v>255</v>
      </c>
      <c r="B415" s="2" t="s">
        <v>211</v>
      </c>
      <c r="C415" s="2" t="s">
        <v>221</v>
      </c>
      <c r="D415" s="2" t="n">
        <v>14</v>
      </c>
      <c r="E415" s="2" t="n">
        <v>0</v>
      </c>
      <c r="F415" s="2" t="n">
        <v>0</v>
      </c>
      <c r="G415" s="2" t="n">
        <v>6</v>
      </c>
      <c r="H415" s="2" t="n">
        <v>23</v>
      </c>
      <c r="I415" s="2" t="n">
        <v>10</v>
      </c>
      <c r="J415" s="2" t="n">
        <v>0</v>
      </c>
      <c r="K415" s="2" t="n">
        <v>26</v>
      </c>
      <c r="L415" s="2" t="n">
        <v>0</v>
      </c>
      <c r="M415" s="2" t="n">
        <v>0</v>
      </c>
      <c r="N415" s="2" t="n">
        <v>20</v>
      </c>
      <c r="O415" s="2" t="n">
        <v>31</v>
      </c>
      <c r="Q415" s="2" t="n">
        <f aca="false">F415+G415+H415</f>
        <v>29</v>
      </c>
    </row>
    <row r="416" customFormat="false" ht="12.8" hidden="false" customHeight="false" outlineLevel="0" collapsed="false">
      <c r="A416" s="2" t="s">
        <v>255</v>
      </c>
      <c r="B416" s="2" t="s">
        <v>211</v>
      </c>
      <c r="C416" s="2" t="s">
        <v>222</v>
      </c>
      <c r="D416" s="2" t="n">
        <v>8</v>
      </c>
      <c r="E416" s="2" t="n">
        <v>0</v>
      </c>
      <c r="F416" s="2" t="n">
        <v>0</v>
      </c>
      <c r="G416" s="2" t="n">
        <v>4</v>
      </c>
      <c r="H416" s="2" t="n">
        <v>22</v>
      </c>
      <c r="I416" s="2" t="n">
        <v>9</v>
      </c>
      <c r="J416" s="2" t="n">
        <v>0</v>
      </c>
      <c r="K416" s="2" t="n">
        <v>19</v>
      </c>
      <c r="L416" s="2" t="n">
        <v>0</v>
      </c>
      <c r="M416" s="2" t="n">
        <v>0</v>
      </c>
      <c r="N416" s="2" t="n">
        <v>16</v>
      </c>
      <c r="O416" s="2" t="n">
        <v>25</v>
      </c>
      <c r="Q416" s="2" t="n">
        <f aca="false">F416+G416+H416</f>
        <v>26</v>
      </c>
    </row>
    <row r="417" customFormat="false" ht="12.8" hidden="false" customHeight="false" outlineLevel="0" collapsed="false">
      <c r="A417" s="2" t="s">
        <v>255</v>
      </c>
      <c r="B417" s="2" t="s">
        <v>211</v>
      </c>
      <c r="C417" s="2" t="s">
        <v>223</v>
      </c>
      <c r="D417" s="2" t="n">
        <v>6</v>
      </c>
      <c r="E417" s="2" t="n">
        <v>0</v>
      </c>
      <c r="F417" s="2" t="n">
        <v>0</v>
      </c>
      <c r="G417" s="2" t="n">
        <v>0</v>
      </c>
      <c r="H417" s="2" t="n">
        <v>28</v>
      </c>
      <c r="I417" s="2" t="n">
        <v>12</v>
      </c>
      <c r="J417" s="2" t="n">
        <v>0</v>
      </c>
      <c r="K417" s="2" t="n">
        <v>19</v>
      </c>
      <c r="Q417" s="2" t="n">
        <f aca="false">F417+G417+H417</f>
        <v>28</v>
      </c>
    </row>
    <row r="418" customFormat="false" ht="12.8" hidden="false" customHeight="false" outlineLevel="0" collapsed="false">
      <c r="A418" s="2" t="s">
        <v>255</v>
      </c>
      <c r="B418" s="2" t="s">
        <v>211</v>
      </c>
      <c r="C418" s="2" t="s">
        <v>224</v>
      </c>
      <c r="D418" s="2" t="n">
        <v>23</v>
      </c>
      <c r="E418" s="2" t="n">
        <v>0</v>
      </c>
      <c r="F418" s="2" t="n">
        <v>0</v>
      </c>
      <c r="G418" s="2" t="n">
        <v>1</v>
      </c>
      <c r="H418" s="2" t="n">
        <v>56</v>
      </c>
      <c r="I418" s="2" t="n">
        <v>20</v>
      </c>
      <c r="J418" s="2" t="n">
        <v>0</v>
      </c>
      <c r="K418" s="2" t="n">
        <v>50</v>
      </c>
      <c r="L418" s="2" t="n">
        <v>0</v>
      </c>
      <c r="M418" s="2" t="n">
        <v>0</v>
      </c>
      <c r="N418" s="2" t="n">
        <v>36</v>
      </c>
      <c r="O418" s="2" t="n">
        <v>54</v>
      </c>
      <c r="Q418" s="2" t="n">
        <f aca="false">F418+G418+H418</f>
        <v>57</v>
      </c>
    </row>
    <row r="419" customFormat="false" ht="12.8" hidden="false" customHeight="false" outlineLevel="0" collapsed="false">
      <c r="A419" s="2" t="s">
        <v>256</v>
      </c>
      <c r="B419" s="2" t="s">
        <v>211</v>
      </c>
      <c r="C419" s="2" t="s">
        <v>212</v>
      </c>
      <c r="D419" s="2" t="n">
        <v>160</v>
      </c>
      <c r="E419" s="2" t="n">
        <v>0</v>
      </c>
      <c r="F419" s="2" t="n">
        <v>0</v>
      </c>
      <c r="G419" s="2" t="n">
        <v>947</v>
      </c>
      <c r="H419" s="2" t="n">
        <v>449</v>
      </c>
      <c r="I419" s="2" t="n">
        <v>1200</v>
      </c>
      <c r="J419" s="2" t="n">
        <v>69</v>
      </c>
      <c r="K419" s="2" t="n">
        <v>423</v>
      </c>
      <c r="L419" s="2" t="n">
        <v>0</v>
      </c>
      <c r="M419" s="2" t="n">
        <v>301</v>
      </c>
      <c r="N419" s="2" t="n">
        <v>6</v>
      </c>
      <c r="O419" s="2" t="n">
        <v>172</v>
      </c>
      <c r="Q419" s="2" t="n">
        <f aca="false">F419+G419+H419</f>
        <v>1396</v>
      </c>
    </row>
    <row r="420" customFormat="false" ht="12.8" hidden="false" customHeight="false" outlineLevel="0" collapsed="false">
      <c r="A420" s="2" t="s">
        <v>256</v>
      </c>
      <c r="B420" s="2" t="s">
        <v>211</v>
      </c>
      <c r="C420" s="2" t="s">
        <v>213</v>
      </c>
      <c r="D420" s="2" t="n">
        <v>163</v>
      </c>
      <c r="E420" s="2" t="n">
        <v>0</v>
      </c>
      <c r="F420" s="2" t="n">
        <v>0</v>
      </c>
      <c r="G420" s="2" t="n">
        <v>933</v>
      </c>
      <c r="H420" s="2" t="n">
        <v>684</v>
      </c>
      <c r="I420" s="2" t="n">
        <v>1154</v>
      </c>
      <c r="J420" s="2" t="n">
        <v>11</v>
      </c>
      <c r="K420" s="2" t="n">
        <v>412</v>
      </c>
      <c r="L420" s="2" t="n">
        <v>0</v>
      </c>
      <c r="M420" s="2" t="n">
        <v>228</v>
      </c>
      <c r="N420" s="2" t="n">
        <v>41</v>
      </c>
      <c r="O420" s="2" t="n">
        <v>172</v>
      </c>
      <c r="Q420" s="2" t="n">
        <f aca="false">F420+G420+H420</f>
        <v>1617</v>
      </c>
    </row>
    <row r="421" customFormat="false" ht="12.8" hidden="false" customHeight="false" outlineLevel="0" collapsed="false">
      <c r="A421" s="2" t="s">
        <v>256</v>
      </c>
      <c r="B421" s="2" t="s">
        <v>211</v>
      </c>
      <c r="C421" s="2" t="s">
        <v>214</v>
      </c>
      <c r="D421" s="2" t="n">
        <v>188</v>
      </c>
      <c r="E421" s="2" t="n">
        <v>0</v>
      </c>
      <c r="F421" s="2" t="n">
        <v>0</v>
      </c>
      <c r="G421" s="2" t="n">
        <v>1009</v>
      </c>
      <c r="H421" s="2" t="n">
        <v>472</v>
      </c>
      <c r="I421" s="2" t="n">
        <v>1313</v>
      </c>
      <c r="J421" s="2" t="n">
        <v>29</v>
      </c>
      <c r="K421" s="2" t="n">
        <v>418</v>
      </c>
      <c r="L421" s="2" t="n">
        <v>0</v>
      </c>
      <c r="M421" s="2" t="n">
        <v>246</v>
      </c>
      <c r="N421" s="2" t="n">
        <v>34</v>
      </c>
      <c r="O421" s="2" t="n">
        <v>221</v>
      </c>
      <c r="Q421" s="2" t="n">
        <f aca="false">F421+G421+H421</f>
        <v>1481</v>
      </c>
    </row>
    <row r="422" customFormat="false" ht="12.8" hidden="false" customHeight="false" outlineLevel="0" collapsed="false">
      <c r="A422" s="2" t="s">
        <v>256</v>
      </c>
      <c r="B422" s="2" t="s">
        <v>211</v>
      </c>
      <c r="C422" s="2" t="s">
        <v>215</v>
      </c>
      <c r="D422" s="2" t="n">
        <v>113</v>
      </c>
      <c r="E422" s="2" t="n">
        <v>0</v>
      </c>
      <c r="F422" s="2" t="n">
        <v>0</v>
      </c>
      <c r="G422" s="2" t="n">
        <v>783</v>
      </c>
      <c r="H422" s="2" t="n">
        <v>359</v>
      </c>
      <c r="I422" s="2" t="n">
        <v>925</v>
      </c>
      <c r="J422" s="2" t="n">
        <v>35</v>
      </c>
      <c r="K422" s="2" t="n">
        <v>436</v>
      </c>
      <c r="L422" s="2" t="n">
        <v>0</v>
      </c>
      <c r="M422" s="2" t="n">
        <v>204</v>
      </c>
      <c r="N422" s="2" t="n">
        <v>41</v>
      </c>
      <c r="O422" s="2" t="n">
        <v>164</v>
      </c>
      <c r="Q422" s="2" t="n">
        <f aca="false">F422+G422+H422</f>
        <v>1142</v>
      </c>
    </row>
    <row r="423" customFormat="false" ht="12.8" hidden="false" customHeight="false" outlineLevel="0" collapsed="false">
      <c r="A423" s="2" t="s">
        <v>256</v>
      </c>
      <c r="B423" s="2" t="s">
        <v>211</v>
      </c>
      <c r="C423" s="2" t="s">
        <v>216</v>
      </c>
      <c r="D423" s="2" t="n">
        <v>168</v>
      </c>
      <c r="E423" s="2" t="n">
        <v>0</v>
      </c>
      <c r="F423" s="2" t="n">
        <v>0</v>
      </c>
      <c r="G423" s="2" t="n">
        <v>1049</v>
      </c>
      <c r="H423" s="2" t="n">
        <v>429</v>
      </c>
      <c r="I423" s="2" t="n">
        <v>1265</v>
      </c>
      <c r="J423" s="2" t="n">
        <v>33</v>
      </c>
      <c r="K423" s="2" t="n">
        <v>808</v>
      </c>
      <c r="L423" s="2" t="n">
        <v>0</v>
      </c>
      <c r="M423" s="2" t="n">
        <v>325</v>
      </c>
      <c r="N423" s="2" t="n">
        <v>34</v>
      </c>
      <c r="O423" s="2" t="n">
        <v>243</v>
      </c>
      <c r="Q423" s="2" t="n">
        <f aca="false">F423+G423+H423</f>
        <v>1478</v>
      </c>
    </row>
    <row r="424" customFormat="false" ht="12.8" hidden="false" customHeight="false" outlineLevel="0" collapsed="false">
      <c r="A424" s="2" t="s">
        <v>256</v>
      </c>
      <c r="B424" s="2" t="s">
        <v>211</v>
      </c>
      <c r="C424" s="2" t="s">
        <v>217</v>
      </c>
      <c r="D424" s="2" t="n">
        <v>161</v>
      </c>
      <c r="E424" s="2" t="n">
        <v>0</v>
      </c>
      <c r="F424" s="2" t="n">
        <v>0</v>
      </c>
      <c r="G424" s="2" t="n">
        <v>948</v>
      </c>
      <c r="H424" s="2" t="n">
        <v>467</v>
      </c>
      <c r="I424" s="2" t="n">
        <v>1168</v>
      </c>
      <c r="J424" s="2" t="n">
        <v>117</v>
      </c>
      <c r="K424" s="2" t="n">
        <v>340</v>
      </c>
      <c r="L424" s="2" t="n">
        <v>0</v>
      </c>
      <c r="M424" s="2" t="n">
        <v>304</v>
      </c>
      <c r="N424" s="2" t="n">
        <v>3</v>
      </c>
      <c r="O424" s="2" t="n">
        <v>156</v>
      </c>
      <c r="Q424" s="2" t="n">
        <f aca="false">F424+G424+H424</f>
        <v>1415</v>
      </c>
    </row>
    <row r="425" customFormat="false" ht="12.8" hidden="false" customHeight="false" outlineLevel="0" collapsed="false">
      <c r="A425" s="2" t="s">
        <v>256</v>
      </c>
      <c r="B425" s="2" t="s">
        <v>211</v>
      </c>
      <c r="C425" s="2" t="s">
        <v>218</v>
      </c>
      <c r="D425" s="2" t="n">
        <v>139</v>
      </c>
      <c r="E425" s="2" t="n">
        <v>0</v>
      </c>
      <c r="F425" s="2" t="n">
        <v>0</v>
      </c>
      <c r="G425" s="2" t="n">
        <v>925</v>
      </c>
      <c r="H425" s="2" t="n">
        <v>394</v>
      </c>
      <c r="I425" s="2" t="n">
        <v>1066</v>
      </c>
      <c r="J425" s="2" t="n">
        <v>90</v>
      </c>
      <c r="K425" s="2" t="n">
        <v>306</v>
      </c>
      <c r="L425" s="2" t="n">
        <v>0</v>
      </c>
      <c r="M425" s="2" t="n">
        <v>268</v>
      </c>
      <c r="N425" s="2" t="n">
        <v>5</v>
      </c>
      <c r="O425" s="2" t="n">
        <v>179</v>
      </c>
      <c r="Q425" s="2" t="n">
        <f aca="false">F425+G425+H425</f>
        <v>1319</v>
      </c>
    </row>
    <row r="426" customFormat="false" ht="12.8" hidden="false" customHeight="false" outlineLevel="0" collapsed="false">
      <c r="A426" s="2" t="s">
        <v>256</v>
      </c>
      <c r="B426" s="2" t="s">
        <v>211</v>
      </c>
      <c r="C426" s="2" t="s">
        <v>219</v>
      </c>
      <c r="D426" s="2" t="n">
        <v>193</v>
      </c>
      <c r="E426" s="2" t="n">
        <v>0</v>
      </c>
      <c r="F426" s="2" t="n">
        <v>0</v>
      </c>
      <c r="G426" s="2" t="n">
        <v>955</v>
      </c>
      <c r="H426" s="2" t="n">
        <v>480</v>
      </c>
      <c r="I426" s="2" t="n">
        <v>1186</v>
      </c>
      <c r="J426" s="2" t="n">
        <v>61</v>
      </c>
      <c r="K426" s="2" t="n">
        <v>519</v>
      </c>
      <c r="L426" s="2" t="n">
        <v>0</v>
      </c>
      <c r="M426" s="2" t="n">
        <v>241</v>
      </c>
      <c r="N426" s="2" t="n">
        <v>7</v>
      </c>
      <c r="O426" s="2" t="n">
        <v>181</v>
      </c>
      <c r="Q426" s="2" t="n">
        <f aca="false">F426+G426+H426</f>
        <v>1435</v>
      </c>
    </row>
    <row r="427" customFormat="false" ht="12.8" hidden="false" customHeight="false" outlineLevel="0" collapsed="false">
      <c r="A427" s="2" t="s">
        <v>256</v>
      </c>
      <c r="B427" s="2" t="s">
        <v>211</v>
      </c>
      <c r="C427" s="2" t="s">
        <v>220</v>
      </c>
      <c r="D427" s="2" t="n">
        <v>146</v>
      </c>
      <c r="E427" s="2" t="n">
        <v>0</v>
      </c>
      <c r="F427" s="2" t="n">
        <v>0</v>
      </c>
      <c r="G427" s="2" t="n">
        <v>861</v>
      </c>
      <c r="H427" s="2" t="n">
        <v>444</v>
      </c>
      <c r="I427" s="2" t="n">
        <v>1122</v>
      </c>
      <c r="J427" s="2" t="n">
        <v>44</v>
      </c>
      <c r="K427" s="2" t="n">
        <v>610</v>
      </c>
      <c r="L427" s="2" t="n">
        <v>0</v>
      </c>
      <c r="M427" s="2" t="n">
        <v>273</v>
      </c>
      <c r="N427" s="2" t="n">
        <v>38</v>
      </c>
      <c r="O427" s="2" t="n">
        <v>122</v>
      </c>
      <c r="Q427" s="2" t="n">
        <f aca="false">F427+G427+H427</f>
        <v>1305</v>
      </c>
    </row>
    <row r="428" customFormat="false" ht="12.8" hidden="false" customHeight="false" outlineLevel="0" collapsed="false">
      <c r="A428" s="2" t="s">
        <v>256</v>
      </c>
      <c r="B428" s="2" t="s">
        <v>211</v>
      </c>
      <c r="C428" s="2" t="s">
        <v>221</v>
      </c>
      <c r="D428" s="2" t="n">
        <v>180</v>
      </c>
      <c r="E428" s="2" t="n">
        <v>0</v>
      </c>
      <c r="F428" s="2" t="n">
        <v>0</v>
      </c>
      <c r="G428" s="2" t="n">
        <v>1041</v>
      </c>
      <c r="H428" s="2" t="n">
        <v>492</v>
      </c>
      <c r="I428" s="2" t="n">
        <v>1349</v>
      </c>
      <c r="J428" s="2" t="n">
        <v>31</v>
      </c>
      <c r="K428" s="2" t="n">
        <v>346</v>
      </c>
      <c r="L428" s="2" t="n">
        <v>0</v>
      </c>
      <c r="M428" s="2" t="n">
        <v>204</v>
      </c>
      <c r="N428" s="2" t="n">
        <v>36</v>
      </c>
      <c r="O428" s="2" t="n">
        <v>207</v>
      </c>
      <c r="Q428" s="2" t="n">
        <f aca="false">F428+G428+H428</f>
        <v>1533</v>
      </c>
    </row>
    <row r="429" customFormat="false" ht="12.8" hidden="false" customHeight="false" outlineLevel="0" collapsed="false">
      <c r="A429" s="2" t="s">
        <v>256</v>
      </c>
      <c r="B429" s="2" t="s">
        <v>211</v>
      </c>
      <c r="C429" s="2" t="s">
        <v>222</v>
      </c>
      <c r="D429" s="2" t="n">
        <v>261</v>
      </c>
      <c r="E429" s="2" t="n">
        <v>0</v>
      </c>
      <c r="F429" s="2" t="n">
        <v>0</v>
      </c>
      <c r="G429" s="2" t="n">
        <v>1139</v>
      </c>
      <c r="H429" s="2" t="n">
        <v>600</v>
      </c>
      <c r="I429" s="2" t="n">
        <v>1619</v>
      </c>
      <c r="J429" s="2" t="n">
        <v>33</v>
      </c>
      <c r="K429" s="2" t="n">
        <v>209</v>
      </c>
      <c r="L429" s="2" t="n">
        <v>0</v>
      </c>
      <c r="M429" s="2" t="n">
        <v>217</v>
      </c>
      <c r="N429" s="2" t="n">
        <v>53</v>
      </c>
      <c r="O429" s="2" t="n">
        <v>224</v>
      </c>
      <c r="Q429" s="2" t="n">
        <f aca="false">F429+G429+H429</f>
        <v>1739</v>
      </c>
    </row>
    <row r="430" customFormat="false" ht="12.8" hidden="false" customHeight="false" outlineLevel="0" collapsed="false">
      <c r="A430" s="2" t="s">
        <v>256</v>
      </c>
      <c r="B430" s="2" t="s">
        <v>211</v>
      </c>
      <c r="C430" s="2" t="s">
        <v>223</v>
      </c>
      <c r="D430" s="2" t="n">
        <v>171</v>
      </c>
      <c r="E430" s="2" t="n">
        <v>0</v>
      </c>
      <c r="F430" s="2" t="n">
        <v>0</v>
      </c>
      <c r="G430" s="2" t="n">
        <v>949</v>
      </c>
      <c r="H430" s="2" t="n">
        <v>488</v>
      </c>
      <c r="I430" s="2" t="n">
        <v>1267</v>
      </c>
      <c r="J430" s="2" t="n">
        <v>34</v>
      </c>
      <c r="K430" s="2" t="n">
        <v>394</v>
      </c>
      <c r="L430" s="2" t="n">
        <v>0</v>
      </c>
      <c r="M430" s="2" t="n">
        <v>271</v>
      </c>
      <c r="N430" s="2" t="n">
        <v>54</v>
      </c>
      <c r="O430" s="2" t="n">
        <v>164</v>
      </c>
      <c r="Q430" s="2" t="n">
        <f aca="false">F430+G430+H430</f>
        <v>1437</v>
      </c>
    </row>
    <row r="431" customFormat="false" ht="12.8" hidden="false" customHeight="false" outlineLevel="0" collapsed="false">
      <c r="A431" s="2" t="s">
        <v>256</v>
      </c>
      <c r="B431" s="2" t="s">
        <v>211</v>
      </c>
      <c r="C431" s="2" t="s">
        <v>224</v>
      </c>
      <c r="D431" s="2" t="n">
        <v>184</v>
      </c>
      <c r="E431" s="2" t="n">
        <v>0</v>
      </c>
      <c r="F431" s="2" t="n">
        <v>0</v>
      </c>
      <c r="G431" s="2" t="n">
        <v>851</v>
      </c>
      <c r="H431" s="2" t="n">
        <v>711</v>
      </c>
      <c r="I431" s="2" t="n">
        <v>1393</v>
      </c>
      <c r="J431" s="2" t="n">
        <v>23</v>
      </c>
      <c r="K431" s="2" t="n">
        <v>486</v>
      </c>
      <c r="L431" s="2" t="n">
        <v>0</v>
      </c>
      <c r="M431" s="2" t="n">
        <v>252</v>
      </c>
      <c r="N431" s="2" t="n">
        <v>42</v>
      </c>
      <c r="O431" s="2" t="n">
        <v>199</v>
      </c>
      <c r="Q431" s="2" t="n">
        <f aca="false">F431+G431+H431</f>
        <v>1562</v>
      </c>
    </row>
    <row r="432" customFormat="false" ht="12.8" hidden="false" customHeight="false" outlineLevel="0" collapsed="false">
      <c r="A432" s="2" t="s">
        <v>257</v>
      </c>
      <c r="B432" s="2" t="s">
        <v>211</v>
      </c>
      <c r="C432" s="2" t="s">
        <v>212</v>
      </c>
      <c r="D432" s="2" t="n">
        <v>942</v>
      </c>
      <c r="E432" s="2" t="n">
        <v>0</v>
      </c>
      <c r="F432" s="2" t="n">
        <v>177</v>
      </c>
      <c r="G432" s="2" t="n">
        <v>331</v>
      </c>
      <c r="H432" s="2" t="n">
        <v>761</v>
      </c>
      <c r="I432" s="2" t="n">
        <v>828</v>
      </c>
      <c r="J432" s="2" t="n">
        <v>85</v>
      </c>
      <c r="K432" s="2" t="n">
        <v>865</v>
      </c>
      <c r="L432" s="2" t="n">
        <v>0</v>
      </c>
      <c r="M432" s="2" t="n">
        <v>222</v>
      </c>
      <c r="N432" s="2" t="n">
        <v>388</v>
      </c>
      <c r="O432" s="2" t="n">
        <v>600</v>
      </c>
      <c r="Q432" s="2" t="n">
        <f aca="false">F432+G432+H432</f>
        <v>1269</v>
      </c>
    </row>
    <row r="433" customFormat="false" ht="12.8" hidden="false" customHeight="false" outlineLevel="0" collapsed="false">
      <c r="A433" s="2" t="s">
        <v>257</v>
      </c>
      <c r="B433" s="2" t="s">
        <v>211</v>
      </c>
      <c r="C433" s="2" t="s">
        <v>213</v>
      </c>
      <c r="D433" s="2" t="n">
        <v>510</v>
      </c>
      <c r="E433" s="2" t="n">
        <v>0</v>
      </c>
      <c r="F433" s="2" t="n">
        <v>212</v>
      </c>
      <c r="G433" s="2" t="n">
        <v>262</v>
      </c>
      <c r="H433" s="2" t="n">
        <v>729</v>
      </c>
      <c r="I433" s="2" t="n">
        <v>670</v>
      </c>
      <c r="J433" s="2" t="n">
        <v>143</v>
      </c>
      <c r="K433" s="2" t="n">
        <v>787</v>
      </c>
      <c r="L433" s="2" t="n">
        <v>0</v>
      </c>
      <c r="M433" s="2" t="n">
        <v>87</v>
      </c>
      <c r="N433" s="2" t="n">
        <v>701</v>
      </c>
      <c r="O433" s="2" t="n">
        <v>608</v>
      </c>
      <c r="Q433" s="2" t="n">
        <f aca="false">F433+G433+H433</f>
        <v>1203</v>
      </c>
    </row>
    <row r="434" customFormat="false" ht="12.8" hidden="false" customHeight="false" outlineLevel="0" collapsed="false">
      <c r="A434" s="2" t="s">
        <v>257</v>
      </c>
      <c r="B434" s="2" t="s">
        <v>211</v>
      </c>
      <c r="C434" s="2" t="s">
        <v>214</v>
      </c>
      <c r="D434" s="2" t="n">
        <v>484</v>
      </c>
      <c r="E434" s="2" t="n">
        <v>0</v>
      </c>
      <c r="F434" s="2" t="n">
        <v>149</v>
      </c>
      <c r="G434" s="2" t="n">
        <v>215</v>
      </c>
      <c r="H434" s="2" t="n">
        <v>860</v>
      </c>
      <c r="I434" s="2" t="n">
        <v>717</v>
      </c>
      <c r="J434" s="2" t="n">
        <v>173</v>
      </c>
      <c r="K434" s="2" t="n">
        <v>743</v>
      </c>
      <c r="L434" s="2" t="n">
        <v>0</v>
      </c>
      <c r="M434" s="2" t="n">
        <v>108</v>
      </c>
      <c r="N434" s="2" t="n">
        <v>712</v>
      </c>
      <c r="O434" s="2" t="n">
        <v>468</v>
      </c>
      <c r="Q434" s="2" t="n">
        <f aca="false">F434+G434+H434</f>
        <v>1224</v>
      </c>
    </row>
    <row r="435" customFormat="false" ht="12.8" hidden="false" customHeight="false" outlineLevel="0" collapsed="false">
      <c r="A435" s="2" t="s">
        <v>257</v>
      </c>
      <c r="B435" s="2" t="s">
        <v>211</v>
      </c>
      <c r="C435" s="2" t="s">
        <v>215</v>
      </c>
      <c r="D435" s="2" t="n">
        <v>463</v>
      </c>
      <c r="E435" s="2" t="n">
        <v>0</v>
      </c>
      <c r="F435" s="2" t="n">
        <v>337</v>
      </c>
      <c r="G435" s="2" t="n">
        <v>233</v>
      </c>
      <c r="H435" s="2" t="n">
        <v>767</v>
      </c>
      <c r="I435" s="2" t="n">
        <v>607</v>
      </c>
      <c r="J435" s="2" t="n">
        <v>179</v>
      </c>
      <c r="K435" s="2" t="n">
        <v>886</v>
      </c>
      <c r="L435" s="2" t="n">
        <v>0</v>
      </c>
      <c r="M435" s="2" t="n">
        <v>106</v>
      </c>
      <c r="N435" s="2" t="n">
        <v>711</v>
      </c>
      <c r="O435" s="2" t="n">
        <v>558</v>
      </c>
      <c r="Q435" s="2" t="n">
        <f aca="false">F435+G435+H435</f>
        <v>1337</v>
      </c>
    </row>
    <row r="436" customFormat="false" ht="12.8" hidden="false" customHeight="false" outlineLevel="0" collapsed="false">
      <c r="A436" s="2" t="s">
        <v>257</v>
      </c>
      <c r="B436" s="2" t="s">
        <v>211</v>
      </c>
      <c r="C436" s="2" t="s">
        <v>216</v>
      </c>
      <c r="D436" s="2" t="n">
        <v>551</v>
      </c>
      <c r="E436" s="2" t="n">
        <v>0</v>
      </c>
      <c r="F436" s="2" t="n">
        <v>352</v>
      </c>
      <c r="G436" s="2" t="n">
        <v>304</v>
      </c>
      <c r="H436" s="2" t="n">
        <v>955</v>
      </c>
      <c r="I436" s="2" t="n">
        <v>900</v>
      </c>
      <c r="J436" s="2" t="n">
        <v>186</v>
      </c>
      <c r="K436" s="2" t="n">
        <v>1070</v>
      </c>
      <c r="L436" s="2" t="n">
        <v>0</v>
      </c>
      <c r="M436" s="2" t="n">
        <v>128</v>
      </c>
      <c r="N436" s="2" t="n">
        <v>849</v>
      </c>
      <c r="O436" s="2" t="n">
        <v>608</v>
      </c>
      <c r="Q436" s="2" t="n">
        <f aca="false">F436+G436+H436</f>
        <v>1611</v>
      </c>
    </row>
    <row r="437" customFormat="false" ht="12.8" hidden="false" customHeight="false" outlineLevel="0" collapsed="false">
      <c r="A437" s="2" t="s">
        <v>257</v>
      </c>
      <c r="B437" s="2" t="s">
        <v>211</v>
      </c>
      <c r="C437" s="2" t="s">
        <v>217</v>
      </c>
      <c r="D437" s="2" t="n">
        <v>871</v>
      </c>
      <c r="E437" s="2" t="n">
        <v>0</v>
      </c>
      <c r="F437" s="2" t="n">
        <v>234</v>
      </c>
      <c r="G437" s="2" t="n">
        <v>450</v>
      </c>
      <c r="H437" s="2" t="n">
        <v>940</v>
      </c>
      <c r="I437" s="2" t="n">
        <v>1056</v>
      </c>
      <c r="J437" s="2" t="n">
        <v>146</v>
      </c>
      <c r="K437" s="2" t="n">
        <v>1280</v>
      </c>
      <c r="L437" s="2" t="n">
        <v>0</v>
      </c>
      <c r="M437" s="2" t="n">
        <v>82</v>
      </c>
      <c r="N437" s="2" t="n">
        <v>556</v>
      </c>
      <c r="O437" s="2" t="n">
        <v>878</v>
      </c>
      <c r="Q437" s="2" t="n">
        <f aca="false">F437+G437+H437</f>
        <v>1624</v>
      </c>
    </row>
    <row r="438" customFormat="false" ht="12.8" hidden="false" customHeight="false" outlineLevel="0" collapsed="false">
      <c r="A438" s="2" t="s">
        <v>257</v>
      </c>
      <c r="B438" s="2" t="s">
        <v>211</v>
      </c>
      <c r="C438" s="2" t="s">
        <v>218</v>
      </c>
      <c r="D438" s="2" t="n">
        <v>714</v>
      </c>
      <c r="E438" s="2" t="n">
        <v>0</v>
      </c>
      <c r="F438" s="2" t="n">
        <v>228</v>
      </c>
      <c r="G438" s="2" t="n">
        <v>362</v>
      </c>
      <c r="H438" s="2" t="n">
        <v>914</v>
      </c>
      <c r="I438" s="2" t="n">
        <v>934</v>
      </c>
      <c r="J438" s="2" t="n">
        <v>159</v>
      </c>
      <c r="K438" s="2" t="n">
        <v>1183</v>
      </c>
      <c r="L438" s="2" t="n">
        <v>0</v>
      </c>
      <c r="M438" s="2" t="n">
        <v>49</v>
      </c>
      <c r="N438" s="2" t="n">
        <v>456</v>
      </c>
      <c r="O438" s="2" t="n">
        <v>708</v>
      </c>
      <c r="Q438" s="2" t="n">
        <f aca="false">F438+G438+H438</f>
        <v>1504</v>
      </c>
    </row>
    <row r="439" customFormat="false" ht="12.8" hidden="false" customHeight="false" outlineLevel="0" collapsed="false">
      <c r="A439" s="2" t="s">
        <v>257</v>
      </c>
      <c r="B439" s="2" t="s">
        <v>211</v>
      </c>
      <c r="C439" s="2" t="s">
        <v>219</v>
      </c>
      <c r="D439" s="2" t="n">
        <v>642</v>
      </c>
      <c r="E439" s="2" t="n">
        <v>0</v>
      </c>
      <c r="F439" s="2" t="n">
        <v>258</v>
      </c>
      <c r="G439" s="2" t="n">
        <v>389</v>
      </c>
      <c r="H439" s="2" t="n">
        <v>918</v>
      </c>
      <c r="I439" s="2" t="n">
        <v>1023</v>
      </c>
      <c r="J439" s="2" t="n">
        <v>127</v>
      </c>
      <c r="K439" s="2" t="n">
        <v>1213</v>
      </c>
      <c r="L439" s="2" t="n">
        <v>0</v>
      </c>
      <c r="M439" s="2" t="n">
        <v>75</v>
      </c>
      <c r="N439" s="2" t="n">
        <v>456</v>
      </c>
      <c r="O439" s="2" t="n">
        <v>814</v>
      </c>
      <c r="Q439" s="2" t="n">
        <f aca="false">F439+G439+H439</f>
        <v>1565</v>
      </c>
    </row>
    <row r="440" customFormat="false" ht="12.8" hidden="false" customHeight="false" outlineLevel="0" collapsed="false">
      <c r="A440" s="2" t="s">
        <v>257</v>
      </c>
      <c r="B440" s="2" t="s">
        <v>211</v>
      </c>
      <c r="C440" s="2" t="s">
        <v>220</v>
      </c>
      <c r="D440" s="2" t="n">
        <v>496</v>
      </c>
      <c r="E440" s="2" t="n">
        <v>0</v>
      </c>
      <c r="F440" s="2" t="n">
        <v>195</v>
      </c>
      <c r="G440" s="2" t="n">
        <v>347</v>
      </c>
      <c r="H440" s="2" t="n">
        <v>740</v>
      </c>
      <c r="I440" s="2" t="n">
        <v>808</v>
      </c>
      <c r="J440" s="2" t="n">
        <v>80</v>
      </c>
      <c r="K440" s="2" t="n">
        <v>961</v>
      </c>
      <c r="L440" s="2" t="n">
        <v>0</v>
      </c>
      <c r="M440" s="2" t="n">
        <v>100</v>
      </c>
      <c r="N440" s="2" t="n">
        <v>475</v>
      </c>
      <c r="O440" s="2" t="n">
        <v>639</v>
      </c>
      <c r="Q440" s="2" t="n">
        <f aca="false">F440+G440+H440</f>
        <v>1282</v>
      </c>
    </row>
    <row r="441" customFormat="false" ht="12.8" hidden="false" customHeight="false" outlineLevel="0" collapsed="false">
      <c r="A441" s="2" t="s">
        <v>257</v>
      </c>
      <c r="B441" s="2" t="s">
        <v>211</v>
      </c>
      <c r="C441" s="2" t="s">
        <v>221</v>
      </c>
      <c r="D441" s="2" t="n">
        <v>514</v>
      </c>
      <c r="E441" s="2" t="n">
        <v>0</v>
      </c>
      <c r="F441" s="2" t="n">
        <v>218</v>
      </c>
      <c r="G441" s="2" t="n">
        <v>358</v>
      </c>
      <c r="H441" s="2" t="n">
        <v>765</v>
      </c>
      <c r="I441" s="2" t="n">
        <v>790</v>
      </c>
      <c r="J441" s="2" t="n">
        <v>140</v>
      </c>
      <c r="K441" s="2" t="n">
        <v>974</v>
      </c>
      <c r="L441" s="2" t="n">
        <v>0</v>
      </c>
      <c r="M441" s="2" t="n">
        <v>107</v>
      </c>
      <c r="N441" s="2" t="n">
        <v>455</v>
      </c>
      <c r="O441" s="2" t="n">
        <v>680</v>
      </c>
      <c r="Q441" s="2" t="n">
        <f aca="false">F441+G441+H441</f>
        <v>1341</v>
      </c>
    </row>
    <row r="442" customFormat="false" ht="12.8" hidden="false" customHeight="false" outlineLevel="0" collapsed="false">
      <c r="A442" s="2" t="s">
        <v>257</v>
      </c>
      <c r="B442" s="2" t="s">
        <v>211</v>
      </c>
      <c r="C442" s="2" t="s">
        <v>222</v>
      </c>
      <c r="D442" s="2" t="n">
        <v>546</v>
      </c>
      <c r="E442" s="2" t="n">
        <v>0</v>
      </c>
      <c r="F442" s="2" t="n">
        <v>87</v>
      </c>
      <c r="G442" s="2" t="n">
        <v>110</v>
      </c>
      <c r="H442" s="2" t="n">
        <v>573</v>
      </c>
      <c r="I442" s="2" t="n">
        <v>504</v>
      </c>
      <c r="J442" s="2" t="n">
        <v>47</v>
      </c>
      <c r="K442" s="2" t="n">
        <v>232</v>
      </c>
      <c r="L442" s="2" t="n">
        <v>0</v>
      </c>
      <c r="M442" s="2" t="n">
        <v>87</v>
      </c>
      <c r="N442" s="2" t="n">
        <v>223</v>
      </c>
      <c r="O442" s="2" t="n">
        <v>316</v>
      </c>
      <c r="Q442" s="2" t="n">
        <f aca="false">F442+G442+H442</f>
        <v>770</v>
      </c>
    </row>
    <row r="443" customFormat="false" ht="12.8" hidden="false" customHeight="false" outlineLevel="0" collapsed="false">
      <c r="A443" s="2" t="s">
        <v>257</v>
      </c>
      <c r="B443" s="2" t="s">
        <v>211</v>
      </c>
      <c r="C443" s="2" t="s">
        <v>223</v>
      </c>
      <c r="D443" s="2" t="n">
        <v>778</v>
      </c>
      <c r="E443" s="2" t="n">
        <v>0</v>
      </c>
      <c r="F443" s="2" t="n">
        <v>150</v>
      </c>
      <c r="G443" s="2" t="n">
        <v>253</v>
      </c>
      <c r="H443" s="2" t="n">
        <v>890</v>
      </c>
      <c r="I443" s="2" t="n">
        <v>893</v>
      </c>
      <c r="J443" s="2" t="n">
        <v>121</v>
      </c>
      <c r="K443" s="2" t="n">
        <v>601</v>
      </c>
      <c r="L443" s="2" t="n">
        <v>0</v>
      </c>
      <c r="M443" s="2" t="n">
        <v>110</v>
      </c>
      <c r="N443" s="2" t="n">
        <v>668</v>
      </c>
      <c r="O443" s="2" t="n">
        <v>529</v>
      </c>
      <c r="Q443" s="2" t="n">
        <f aca="false">F443+G443+H443</f>
        <v>1293</v>
      </c>
    </row>
    <row r="444" customFormat="false" ht="12.8" hidden="false" customHeight="false" outlineLevel="0" collapsed="false">
      <c r="A444" s="2" t="s">
        <v>257</v>
      </c>
      <c r="B444" s="2" t="s">
        <v>211</v>
      </c>
      <c r="C444" s="2" t="s">
        <v>224</v>
      </c>
      <c r="D444" s="2" t="n">
        <v>550</v>
      </c>
      <c r="E444" s="2" t="n">
        <v>0</v>
      </c>
      <c r="F444" s="2" t="n">
        <v>145</v>
      </c>
      <c r="G444" s="2" t="n">
        <v>230</v>
      </c>
      <c r="H444" s="2" t="n">
        <v>812</v>
      </c>
      <c r="I444" s="2" t="n">
        <v>765</v>
      </c>
      <c r="J444" s="2" t="n">
        <v>81</v>
      </c>
      <c r="K444" s="2" t="n">
        <v>701</v>
      </c>
      <c r="L444" s="2" t="n">
        <v>0</v>
      </c>
      <c r="M444" s="2" t="n">
        <v>84</v>
      </c>
      <c r="N444" s="2" t="n">
        <v>678</v>
      </c>
      <c r="O444" s="2" t="n">
        <v>486</v>
      </c>
      <c r="Q444" s="2" t="n">
        <f aca="false">F444+G444+H444</f>
        <v>1187</v>
      </c>
    </row>
    <row r="445" customFormat="false" ht="12.8" hidden="false" customHeight="false" outlineLevel="0" collapsed="false">
      <c r="A445" s="2" t="s">
        <v>258</v>
      </c>
      <c r="B445" s="2" t="s">
        <v>211</v>
      </c>
      <c r="C445" s="2" t="s">
        <v>212</v>
      </c>
      <c r="D445" s="2" t="n">
        <v>147</v>
      </c>
      <c r="E445" s="2" t="n">
        <v>0</v>
      </c>
      <c r="F445" s="2" t="n">
        <v>0</v>
      </c>
      <c r="G445" s="2" t="n">
        <v>9</v>
      </c>
      <c r="H445" s="2" t="n">
        <v>146</v>
      </c>
      <c r="I445" s="2" t="n">
        <v>153</v>
      </c>
      <c r="J445" s="2" t="n">
        <v>0</v>
      </c>
      <c r="K445" s="2" t="n">
        <v>36</v>
      </c>
      <c r="L445" s="2" t="n">
        <v>0</v>
      </c>
      <c r="M445" s="2" t="n">
        <v>0</v>
      </c>
      <c r="N445" s="2" t="n">
        <v>8</v>
      </c>
      <c r="O445" s="2" t="n">
        <v>181</v>
      </c>
      <c r="Q445" s="2" t="n">
        <f aca="false">F445+G445+H445</f>
        <v>155</v>
      </c>
    </row>
    <row r="446" customFormat="false" ht="12.8" hidden="false" customHeight="false" outlineLevel="0" collapsed="false">
      <c r="A446" s="2" t="s">
        <v>258</v>
      </c>
      <c r="B446" s="2" t="s">
        <v>211</v>
      </c>
      <c r="C446" s="2" t="s">
        <v>213</v>
      </c>
      <c r="D446" s="2" t="n">
        <v>139</v>
      </c>
      <c r="E446" s="2" t="n">
        <v>0</v>
      </c>
      <c r="F446" s="2" t="n">
        <v>0</v>
      </c>
      <c r="G446" s="2" t="n">
        <v>69</v>
      </c>
      <c r="H446" s="2" t="n">
        <v>156</v>
      </c>
      <c r="I446" s="2" t="n">
        <v>94</v>
      </c>
      <c r="J446" s="2" t="n">
        <v>109</v>
      </c>
      <c r="K446" s="2" t="n">
        <v>33</v>
      </c>
      <c r="L446" s="2" t="n">
        <v>0</v>
      </c>
      <c r="M446" s="2" t="n">
        <v>0</v>
      </c>
      <c r="N446" s="2" t="n">
        <v>47</v>
      </c>
      <c r="O446" s="2" t="n">
        <v>232</v>
      </c>
      <c r="Q446" s="2" t="n">
        <f aca="false">F446+G446+H446</f>
        <v>225</v>
      </c>
    </row>
    <row r="447" customFormat="false" ht="12.8" hidden="false" customHeight="false" outlineLevel="0" collapsed="false">
      <c r="A447" s="2" t="s">
        <v>258</v>
      </c>
      <c r="B447" s="2" t="s">
        <v>211</v>
      </c>
      <c r="C447" s="2" t="s">
        <v>214</v>
      </c>
      <c r="D447" s="2" t="n">
        <v>200</v>
      </c>
      <c r="E447" s="2" t="n">
        <v>0</v>
      </c>
      <c r="F447" s="2" t="n">
        <v>0</v>
      </c>
      <c r="G447" s="2" t="n">
        <v>81</v>
      </c>
      <c r="H447" s="2" t="n">
        <v>253</v>
      </c>
      <c r="I447" s="2" t="n">
        <v>187</v>
      </c>
      <c r="J447" s="2" t="n">
        <v>108</v>
      </c>
      <c r="K447" s="2" t="n">
        <v>52</v>
      </c>
      <c r="L447" s="2" t="n">
        <v>0</v>
      </c>
      <c r="M447" s="2" t="n">
        <v>0</v>
      </c>
      <c r="N447" s="2" t="n">
        <v>57</v>
      </c>
      <c r="O447" s="2" t="n">
        <v>315</v>
      </c>
      <c r="Q447" s="2" t="n">
        <f aca="false">F447+G447+H447</f>
        <v>334</v>
      </c>
    </row>
    <row r="448" customFormat="false" ht="12.8" hidden="false" customHeight="false" outlineLevel="0" collapsed="false">
      <c r="A448" s="2" t="s">
        <v>258</v>
      </c>
      <c r="B448" s="2" t="s">
        <v>211</v>
      </c>
      <c r="C448" s="2" t="s">
        <v>215</v>
      </c>
      <c r="D448" s="2" t="n">
        <v>230</v>
      </c>
      <c r="E448" s="2" t="n">
        <v>0</v>
      </c>
      <c r="F448" s="2" t="n">
        <v>0</v>
      </c>
      <c r="G448" s="2" t="n">
        <v>92</v>
      </c>
      <c r="H448" s="2" t="n">
        <v>294</v>
      </c>
      <c r="I448" s="2" t="n">
        <v>186</v>
      </c>
      <c r="J448" s="2" t="n">
        <v>103</v>
      </c>
      <c r="K448" s="2" t="n">
        <v>222</v>
      </c>
      <c r="L448" s="2" t="n">
        <v>0</v>
      </c>
      <c r="M448" s="2" t="n">
        <v>0</v>
      </c>
      <c r="N448" s="2" t="n">
        <v>115</v>
      </c>
      <c r="O448" s="2" t="n">
        <v>478</v>
      </c>
      <c r="Q448" s="2" t="n">
        <f aca="false">F448+G448+H448</f>
        <v>386</v>
      </c>
    </row>
    <row r="449" customFormat="false" ht="12.8" hidden="false" customHeight="false" outlineLevel="0" collapsed="false">
      <c r="A449" s="2" t="s">
        <v>258</v>
      </c>
      <c r="B449" s="2" t="s">
        <v>211</v>
      </c>
      <c r="C449" s="2" t="s">
        <v>216</v>
      </c>
      <c r="D449" s="2" t="n">
        <v>231</v>
      </c>
      <c r="E449" s="2" t="n">
        <v>0</v>
      </c>
      <c r="F449" s="2" t="n">
        <v>0</v>
      </c>
      <c r="G449" s="2" t="n">
        <v>96</v>
      </c>
      <c r="H449" s="2" t="n">
        <v>293</v>
      </c>
      <c r="I449" s="2" t="n">
        <v>215</v>
      </c>
      <c r="J449" s="2" t="n">
        <v>111</v>
      </c>
      <c r="K449" s="2" t="n">
        <v>181</v>
      </c>
      <c r="L449" s="2" t="n">
        <v>0</v>
      </c>
      <c r="M449" s="2" t="n">
        <v>0</v>
      </c>
      <c r="N449" s="2" t="n">
        <v>83</v>
      </c>
      <c r="O449" s="2" t="n">
        <v>491</v>
      </c>
      <c r="Q449" s="2" t="n">
        <f aca="false">F449+G449+H449</f>
        <v>389</v>
      </c>
    </row>
    <row r="450" customFormat="false" ht="12.8" hidden="false" customHeight="false" outlineLevel="0" collapsed="false">
      <c r="A450" s="2" t="s">
        <v>258</v>
      </c>
      <c r="B450" s="2" t="s">
        <v>211</v>
      </c>
      <c r="C450" s="2" t="s">
        <v>217</v>
      </c>
      <c r="D450" s="2" t="n">
        <v>178</v>
      </c>
      <c r="E450" s="2" t="n">
        <v>0</v>
      </c>
      <c r="F450" s="2" t="n">
        <v>0</v>
      </c>
      <c r="G450" s="2" t="n">
        <v>83</v>
      </c>
      <c r="H450" s="2" t="n">
        <v>159</v>
      </c>
      <c r="I450" s="2" t="n">
        <v>221</v>
      </c>
      <c r="J450" s="2" t="n">
        <v>0</v>
      </c>
      <c r="K450" s="2" t="n">
        <v>26</v>
      </c>
      <c r="L450" s="2" t="n">
        <v>0</v>
      </c>
      <c r="M450" s="2" t="n">
        <v>0</v>
      </c>
      <c r="N450" s="2" t="n">
        <v>36</v>
      </c>
      <c r="O450" s="2" t="n">
        <v>246</v>
      </c>
      <c r="Q450" s="2" t="n">
        <f aca="false">F450+G450+H450</f>
        <v>242</v>
      </c>
    </row>
    <row r="451" customFormat="false" ht="12.8" hidden="false" customHeight="false" outlineLevel="0" collapsed="false">
      <c r="A451" s="2" t="s">
        <v>258</v>
      </c>
      <c r="B451" s="2" t="s">
        <v>211</v>
      </c>
      <c r="C451" s="2" t="s">
        <v>218</v>
      </c>
      <c r="D451" s="2" t="n">
        <v>202</v>
      </c>
      <c r="E451" s="2" t="n">
        <v>0</v>
      </c>
      <c r="F451" s="2" t="n">
        <v>0</v>
      </c>
      <c r="G451" s="2" t="n">
        <v>80</v>
      </c>
      <c r="H451" s="2" t="n">
        <v>197</v>
      </c>
      <c r="I451" s="2" t="n">
        <v>207</v>
      </c>
      <c r="J451" s="2" t="n">
        <v>47</v>
      </c>
      <c r="K451" s="2" t="n">
        <v>27</v>
      </c>
      <c r="L451" s="2" t="n">
        <v>0</v>
      </c>
      <c r="M451" s="2" t="n">
        <v>0</v>
      </c>
      <c r="N451" s="2" t="n">
        <v>30</v>
      </c>
      <c r="O451" s="2" t="n">
        <v>271</v>
      </c>
      <c r="Q451" s="2" t="n">
        <f aca="false">F451+G451+H451</f>
        <v>277</v>
      </c>
    </row>
    <row r="452" customFormat="false" ht="12.8" hidden="false" customHeight="false" outlineLevel="0" collapsed="false">
      <c r="A452" s="2" t="s">
        <v>258</v>
      </c>
      <c r="B452" s="2" t="s">
        <v>211</v>
      </c>
      <c r="C452" s="2" t="s">
        <v>219</v>
      </c>
      <c r="D452" s="2" t="n">
        <v>180</v>
      </c>
      <c r="E452" s="2" t="n">
        <v>0</v>
      </c>
      <c r="F452" s="2" t="n">
        <v>0</v>
      </c>
      <c r="G452" s="2" t="n">
        <v>76</v>
      </c>
      <c r="H452" s="2" t="n">
        <v>172</v>
      </c>
      <c r="I452" s="2" t="n">
        <v>178</v>
      </c>
      <c r="J452" s="2" t="n">
        <v>20</v>
      </c>
      <c r="K452" s="2" t="n">
        <v>68</v>
      </c>
      <c r="L452" s="2" t="n">
        <v>0</v>
      </c>
      <c r="M452" s="2" t="n">
        <v>0</v>
      </c>
      <c r="N452" s="2" t="n">
        <v>36</v>
      </c>
      <c r="O452" s="2" t="n">
        <v>239</v>
      </c>
      <c r="Q452" s="2" t="n">
        <f aca="false">F452+G452+H452</f>
        <v>248</v>
      </c>
    </row>
    <row r="453" customFormat="false" ht="12.8" hidden="false" customHeight="false" outlineLevel="0" collapsed="false">
      <c r="A453" s="2" t="s">
        <v>258</v>
      </c>
      <c r="B453" s="2" t="s">
        <v>211</v>
      </c>
      <c r="C453" s="2" t="s">
        <v>220</v>
      </c>
      <c r="D453" s="2" t="n">
        <v>239</v>
      </c>
      <c r="E453" s="2" t="n">
        <v>0</v>
      </c>
      <c r="F453" s="2" t="n">
        <v>0</v>
      </c>
      <c r="G453" s="2" t="n">
        <v>112</v>
      </c>
      <c r="H453" s="2" t="n">
        <v>219</v>
      </c>
      <c r="I453" s="2" t="n">
        <v>229</v>
      </c>
      <c r="J453" s="2" t="n">
        <v>72</v>
      </c>
      <c r="K453" s="2" t="n">
        <v>34</v>
      </c>
      <c r="L453" s="2" t="n">
        <v>0</v>
      </c>
      <c r="M453" s="2" t="n">
        <v>0</v>
      </c>
      <c r="N453" s="2" t="n">
        <v>37</v>
      </c>
      <c r="O453" s="2" t="n">
        <v>312</v>
      </c>
      <c r="Q453" s="2" t="n">
        <f aca="false">F453+G453+H453</f>
        <v>331</v>
      </c>
    </row>
    <row r="454" customFormat="false" ht="12.8" hidden="false" customHeight="false" outlineLevel="0" collapsed="false">
      <c r="A454" s="2" t="s">
        <v>258</v>
      </c>
      <c r="B454" s="2" t="s">
        <v>211</v>
      </c>
      <c r="C454" s="2" t="s">
        <v>221</v>
      </c>
      <c r="D454" s="2" t="n">
        <v>168</v>
      </c>
      <c r="E454" s="2" t="n">
        <v>0</v>
      </c>
      <c r="F454" s="2" t="n">
        <v>0</v>
      </c>
      <c r="G454" s="2" t="n">
        <v>90</v>
      </c>
      <c r="H454" s="2" t="n">
        <v>169</v>
      </c>
      <c r="I454" s="2" t="n">
        <v>172</v>
      </c>
      <c r="J454" s="2" t="n">
        <v>37</v>
      </c>
      <c r="K454" s="2" t="n">
        <v>64</v>
      </c>
      <c r="L454" s="2" t="n">
        <v>0</v>
      </c>
      <c r="M454" s="2" t="n">
        <v>0</v>
      </c>
      <c r="N454" s="2" t="n">
        <v>40</v>
      </c>
      <c r="O454" s="2" t="n">
        <v>237</v>
      </c>
      <c r="Q454" s="2" t="n">
        <f aca="false">F454+G454+H454</f>
        <v>259</v>
      </c>
    </row>
    <row r="455" customFormat="false" ht="12.8" hidden="false" customHeight="false" outlineLevel="0" collapsed="false">
      <c r="A455" s="2" t="s">
        <v>258</v>
      </c>
      <c r="B455" s="2" t="s">
        <v>211</v>
      </c>
      <c r="C455" s="2" t="s">
        <v>222</v>
      </c>
      <c r="D455" s="2" t="n">
        <v>146</v>
      </c>
      <c r="E455" s="2" t="n">
        <v>0</v>
      </c>
      <c r="F455" s="2" t="n">
        <v>0</v>
      </c>
      <c r="G455" s="2" t="n">
        <v>58</v>
      </c>
      <c r="H455" s="2" t="n">
        <v>160</v>
      </c>
      <c r="I455" s="2" t="n">
        <v>179</v>
      </c>
      <c r="J455" s="2" t="n">
        <v>2</v>
      </c>
      <c r="K455" s="2" t="n">
        <v>45</v>
      </c>
      <c r="L455" s="2" t="n">
        <v>0</v>
      </c>
      <c r="M455" s="2" t="n">
        <v>0</v>
      </c>
      <c r="N455" s="2" t="n">
        <v>36</v>
      </c>
      <c r="O455" s="2" t="n">
        <v>181</v>
      </c>
      <c r="Q455" s="2" t="n">
        <f aca="false">F455+G455+H455</f>
        <v>218</v>
      </c>
    </row>
    <row r="456" customFormat="false" ht="12.8" hidden="false" customHeight="false" outlineLevel="0" collapsed="false">
      <c r="A456" s="2" t="s">
        <v>258</v>
      </c>
      <c r="B456" s="2" t="s">
        <v>211</v>
      </c>
      <c r="C456" s="2" t="s">
        <v>223</v>
      </c>
      <c r="D456" s="2" t="n">
        <v>137</v>
      </c>
      <c r="E456" s="2" t="n">
        <v>0</v>
      </c>
      <c r="F456" s="2" t="n">
        <v>0</v>
      </c>
      <c r="G456" s="2" t="n">
        <v>46</v>
      </c>
      <c r="H456" s="2" t="n">
        <v>171</v>
      </c>
      <c r="I456" s="2" t="n">
        <v>148</v>
      </c>
      <c r="J456" s="2" t="n">
        <v>33</v>
      </c>
      <c r="K456" s="2" t="n">
        <v>40</v>
      </c>
      <c r="L456" s="2" t="n">
        <v>0</v>
      </c>
      <c r="M456" s="2" t="n">
        <v>0</v>
      </c>
      <c r="N456" s="2" t="n">
        <v>40</v>
      </c>
      <c r="O456" s="2" t="n">
        <v>200</v>
      </c>
      <c r="Q456" s="2" t="n">
        <f aca="false">F456+G456+H456</f>
        <v>217</v>
      </c>
    </row>
    <row r="457" customFormat="false" ht="12.8" hidden="false" customHeight="false" outlineLevel="0" collapsed="false">
      <c r="A457" s="2" t="s">
        <v>258</v>
      </c>
      <c r="B457" s="2" t="s">
        <v>211</v>
      </c>
      <c r="C457" s="2" t="s">
        <v>224</v>
      </c>
      <c r="D457" s="2" t="n">
        <v>256</v>
      </c>
      <c r="E457" s="2" t="n">
        <v>0</v>
      </c>
      <c r="F457" s="2" t="n">
        <v>0</v>
      </c>
      <c r="G457" s="2" t="n">
        <v>94</v>
      </c>
      <c r="H457" s="2" t="n">
        <v>274</v>
      </c>
      <c r="I457" s="2" t="n">
        <v>244</v>
      </c>
      <c r="J457" s="2" t="n">
        <v>87</v>
      </c>
      <c r="K457" s="2" t="n">
        <v>80</v>
      </c>
      <c r="L457" s="2" t="n">
        <v>0</v>
      </c>
      <c r="M457" s="2" t="n">
        <v>0</v>
      </c>
      <c r="N457" s="2" t="n">
        <v>43</v>
      </c>
      <c r="O457" s="2" t="n">
        <v>412</v>
      </c>
      <c r="Q457" s="2" t="n">
        <f aca="false">F457+G457+H457</f>
        <v>368</v>
      </c>
    </row>
    <row r="458" customFormat="false" ht="12.8" hidden="false" customHeight="false" outlineLevel="0" collapsed="false">
      <c r="A458" s="2" t="s">
        <v>259</v>
      </c>
      <c r="B458" s="2" t="s">
        <v>211</v>
      </c>
      <c r="C458" s="2" t="s">
        <v>212</v>
      </c>
      <c r="D458" s="2" t="n">
        <v>2907</v>
      </c>
      <c r="E458" s="2" t="n">
        <v>0</v>
      </c>
      <c r="F458" s="2" t="n">
        <v>1653</v>
      </c>
      <c r="G458" s="2" t="n">
        <v>280</v>
      </c>
      <c r="H458" s="2" t="n">
        <v>2183</v>
      </c>
      <c r="I458" s="2" t="n">
        <v>2858</v>
      </c>
      <c r="J458" s="2" t="n">
        <v>0</v>
      </c>
      <c r="K458" s="2" t="n">
        <v>1743</v>
      </c>
      <c r="L458" s="2" t="n">
        <v>0</v>
      </c>
      <c r="M458" s="2" t="n">
        <v>207</v>
      </c>
      <c r="N458" s="2" t="n">
        <v>1033</v>
      </c>
      <c r="O458" s="2" t="n">
        <v>1106</v>
      </c>
      <c r="Q458" s="2" t="n">
        <f aca="false">F458+G458+H458</f>
        <v>4116</v>
      </c>
    </row>
    <row r="459" customFormat="false" ht="12.8" hidden="false" customHeight="false" outlineLevel="0" collapsed="false">
      <c r="A459" s="2" t="s">
        <v>259</v>
      </c>
      <c r="B459" s="2" t="s">
        <v>211</v>
      </c>
      <c r="C459" s="2" t="s">
        <v>213</v>
      </c>
      <c r="D459" s="2" t="n">
        <v>804</v>
      </c>
      <c r="E459" s="2" t="n">
        <v>0</v>
      </c>
      <c r="F459" s="2" t="n">
        <v>1079</v>
      </c>
      <c r="G459" s="2" t="n">
        <v>436</v>
      </c>
      <c r="H459" s="2" t="n">
        <v>1658</v>
      </c>
      <c r="I459" s="2" t="n">
        <v>1938</v>
      </c>
      <c r="J459" s="2" t="n">
        <v>0</v>
      </c>
      <c r="K459" s="2" t="n">
        <v>1645</v>
      </c>
      <c r="L459" s="2" t="n">
        <v>0</v>
      </c>
      <c r="M459" s="2" t="n">
        <v>185</v>
      </c>
      <c r="N459" s="2" t="n">
        <v>461</v>
      </c>
      <c r="O459" s="2" t="n">
        <v>1160</v>
      </c>
      <c r="Q459" s="2" t="n">
        <f aca="false">F459+G459+H459</f>
        <v>3173</v>
      </c>
    </row>
    <row r="460" customFormat="false" ht="12.8" hidden="false" customHeight="false" outlineLevel="0" collapsed="false">
      <c r="A460" s="2" t="s">
        <v>259</v>
      </c>
      <c r="B460" s="2" t="s">
        <v>211</v>
      </c>
      <c r="C460" s="2" t="s">
        <v>214</v>
      </c>
      <c r="D460" s="2" t="n">
        <v>1215</v>
      </c>
      <c r="E460" s="2" t="n">
        <v>0</v>
      </c>
      <c r="F460" s="2" t="n">
        <v>1880</v>
      </c>
      <c r="G460" s="2" t="n">
        <v>507</v>
      </c>
      <c r="H460" s="2" t="n">
        <v>2710</v>
      </c>
      <c r="I460" s="2" t="n">
        <v>3553</v>
      </c>
      <c r="J460" s="2" t="n">
        <v>0</v>
      </c>
      <c r="K460" s="2" t="n">
        <v>2205</v>
      </c>
      <c r="L460" s="2" t="n">
        <v>0</v>
      </c>
      <c r="M460" s="2" t="n">
        <v>331</v>
      </c>
      <c r="N460" s="2" t="n">
        <v>650</v>
      </c>
      <c r="O460" s="2" t="n">
        <v>1213</v>
      </c>
      <c r="Q460" s="2" t="n">
        <f aca="false">F460+G460+H460</f>
        <v>5097</v>
      </c>
    </row>
    <row r="461" customFormat="false" ht="12.8" hidden="false" customHeight="false" outlineLevel="0" collapsed="false">
      <c r="A461" s="2" t="s">
        <v>259</v>
      </c>
      <c r="B461" s="2" t="s">
        <v>211</v>
      </c>
      <c r="C461" s="2" t="s">
        <v>215</v>
      </c>
      <c r="D461" s="2" t="n">
        <v>1243</v>
      </c>
      <c r="E461" s="2" t="n">
        <v>0</v>
      </c>
      <c r="F461" s="2" t="n">
        <v>1771</v>
      </c>
      <c r="G461" s="2" t="n">
        <v>548</v>
      </c>
      <c r="H461" s="2" t="n">
        <v>3073</v>
      </c>
      <c r="I461" s="2" t="n">
        <v>3774</v>
      </c>
      <c r="J461" s="2" t="n">
        <v>0</v>
      </c>
      <c r="K461" s="2" t="n">
        <v>2297</v>
      </c>
      <c r="L461" s="2" t="n">
        <v>0</v>
      </c>
      <c r="M461" s="2" t="n">
        <v>387</v>
      </c>
      <c r="N461" s="2" t="n">
        <v>692</v>
      </c>
      <c r="O461" s="2" t="n">
        <v>1560</v>
      </c>
      <c r="Q461" s="2" t="n">
        <f aca="false">F461+G461+H461</f>
        <v>5392</v>
      </c>
    </row>
    <row r="462" customFormat="false" ht="12.8" hidden="false" customHeight="false" outlineLevel="0" collapsed="false">
      <c r="A462" s="2" t="s">
        <v>259</v>
      </c>
      <c r="B462" s="2" t="s">
        <v>211</v>
      </c>
      <c r="C462" s="2" t="s">
        <v>216</v>
      </c>
      <c r="D462" s="2" t="n">
        <v>963</v>
      </c>
      <c r="E462" s="2" t="n">
        <v>0</v>
      </c>
      <c r="F462" s="2" t="n">
        <v>2193</v>
      </c>
      <c r="G462" s="2" t="n">
        <v>491</v>
      </c>
      <c r="H462" s="2" t="n">
        <v>2931</v>
      </c>
      <c r="I462" s="2" t="n">
        <v>3667</v>
      </c>
      <c r="J462" s="2" t="n">
        <v>0</v>
      </c>
      <c r="K462" s="2" t="n">
        <v>2596</v>
      </c>
      <c r="L462" s="2" t="n">
        <v>0</v>
      </c>
      <c r="M462" s="2" t="n">
        <v>367</v>
      </c>
      <c r="N462" s="2" t="n">
        <v>832</v>
      </c>
      <c r="O462" s="2" t="n">
        <v>1453</v>
      </c>
      <c r="Q462" s="2" t="n">
        <f aca="false">F462+G462+H462</f>
        <v>5615</v>
      </c>
    </row>
    <row r="463" customFormat="false" ht="12.8" hidden="false" customHeight="false" outlineLevel="0" collapsed="false">
      <c r="A463" s="2" t="s">
        <v>259</v>
      </c>
      <c r="B463" s="2" t="s">
        <v>211</v>
      </c>
      <c r="C463" s="2" t="s">
        <v>217</v>
      </c>
      <c r="D463" s="2" t="n">
        <v>2053</v>
      </c>
      <c r="E463" s="2" t="n">
        <v>0</v>
      </c>
      <c r="F463" s="2" t="n">
        <v>1656</v>
      </c>
      <c r="G463" s="2" t="n">
        <v>273</v>
      </c>
      <c r="H463" s="2" t="n">
        <v>2458</v>
      </c>
      <c r="I463" s="2" t="n">
        <v>3065</v>
      </c>
      <c r="J463" s="2" t="n">
        <v>0</v>
      </c>
      <c r="K463" s="2" t="n">
        <v>1968</v>
      </c>
      <c r="L463" s="2" t="n">
        <v>0</v>
      </c>
      <c r="M463" s="2" t="n">
        <v>206</v>
      </c>
      <c r="N463" s="2" t="n">
        <v>1088</v>
      </c>
      <c r="O463" s="2" t="n">
        <v>1311</v>
      </c>
      <c r="Q463" s="2" t="n">
        <f aca="false">F463+G463+H463</f>
        <v>4387</v>
      </c>
    </row>
    <row r="464" customFormat="false" ht="12.8" hidden="false" customHeight="false" outlineLevel="0" collapsed="false">
      <c r="A464" s="2" t="s">
        <v>259</v>
      </c>
      <c r="B464" s="2" t="s">
        <v>211</v>
      </c>
      <c r="C464" s="2" t="s">
        <v>218</v>
      </c>
      <c r="D464" s="2" t="n">
        <v>1798</v>
      </c>
      <c r="E464" s="2" t="n">
        <v>0</v>
      </c>
      <c r="F464" s="2" t="n">
        <v>1597</v>
      </c>
      <c r="G464" s="2" t="n">
        <v>456</v>
      </c>
      <c r="H464" s="2" t="n">
        <v>2525</v>
      </c>
      <c r="I464" s="2" t="n">
        <v>3245</v>
      </c>
      <c r="J464" s="2" t="n">
        <v>0</v>
      </c>
      <c r="K464" s="2" t="n">
        <v>2000</v>
      </c>
      <c r="L464" s="2" t="n">
        <v>0</v>
      </c>
      <c r="M464" s="2" t="n">
        <v>257</v>
      </c>
      <c r="N464" s="2" t="n">
        <v>823</v>
      </c>
      <c r="O464" s="2" t="n">
        <v>1332</v>
      </c>
      <c r="Q464" s="2" t="n">
        <f aca="false">F464+G464+H464</f>
        <v>4578</v>
      </c>
    </row>
    <row r="465" customFormat="false" ht="12.8" hidden="false" customHeight="false" outlineLevel="0" collapsed="false">
      <c r="A465" s="2" t="s">
        <v>259</v>
      </c>
      <c r="B465" s="2" t="s">
        <v>211</v>
      </c>
      <c r="C465" s="2" t="s">
        <v>219</v>
      </c>
      <c r="D465" s="2" t="n">
        <v>1484</v>
      </c>
      <c r="E465" s="2" t="n">
        <v>0</v>
      </c>
      <c r="F465" s="2" t="n">
        <v>1554</v>
      </c>
      <c r="G465" s="2" t="n">
        <v>318</v>
      </c>
      <c r="H465" s="2" t="n">
        <v>2485</v>
      </c>
      <c r="I465" s="2" t="n">
        <v>3080</v>
      </c>
      <c r="J465" s="2" t="n">
        <v>0</v>
      </c>
      <c r="K465" s="2" t="n">
        <v>1930</v>
      </c>
      <c r="L465" s="2" t="n">
        <v>0</v>
      </c>
      <c r="M465" s="2" t="n">
        <v>178</v>
      </c>
      <c r="N465" s="2" t="n">
        <v>767</v>
      </c>
      <c r="O465" s="2" t="n">
        <v>1412</v>
      </c>
      <c r="Q465" s="2" t="n">
        <f aca="false">F465+G465+H465</f>
        <v>4357</v>
      </c>
    </row>
    <row r="466" customFormat="false" ht="12.8" hidden="false" customHeight="false" outlineLevel="0" collapsed="false">
      <c r="A466" s="2" t="s">
        <v>259</v>
      </c>
      <c r="B466" s="2" t="s">
        <v>211</v>
      </c>
      <c r="C466" s="2" t="s">
        <v>220</v>
      </c>
      <c r="D466" s="2" t="n">
        <v>1190</v>
      </c>
      <c r="E466" s="2" t="n">
        <v>0</v>
      </c>
      <c r="F466" s="2" t="n">
        <v>1451</v>
      </c>
      <c r="G466" s="2" t="n">
        <v>250</v>
      </c>
      <c r="H466" s="2" t="n">
        <v>2228</v>
      </c>
      <c r="I466" s="2" t="n">
        <v>2533</v>
      </c>
      <c r="J466" s="2" t="n">
        <v>0</v>
      </c>
      <c r="K466" s="2" t="n">
        <v>1882</v>
      </c>
      <c r="L466" s="2" t="n">
        <v>0</v>
      </c>
      <c r="M466" s="2" t="n">
        <v>224</v>
      </c>
      <c r="N466" s="2" t="n">
        <v>689</v>
      </c>
      <c r="O466" s="2" t="n">
        <v>1190</v>
      </c>
      <c r="Q466" s="2" t="n">
        <f aca="false">F466+G466+H466</f>
        <v>3929</v>
      </c>
    </row>
    <row r="467" customFormat="false" ht="12.8" hidden="false" customHeight="false" outlineLevel="0" collapsed="false">
      <c r="A467" s="2" t="s">
        <v>259</v>
      </c>
      <c r="B467" s="2" t="s">
        <v>211</v>
      </c>
      <c r="C467" s="2" t="s">
        <v>221</v>
      </c>
      <c r="D467" s="2" t="n">
        <v>1196</v>
      </c>
      <c r="E467" s="2" t="n">
        <v>0</v>
      </c>
      <c r="F467" s="2" t="n">
        <v>1634</v>
      </c>
      <c r="G467" s="2" t="n">
        <v>285</v>
      </c>
      <c r="H467" s="2" t="n">
        <v>2141</v>
      </c>
      <c r="I467" s="2" t="n">
        <v>2773</v>
      </c>
      <c r="J467" s="2" t="n">
        <v>0</v>
      </c>
      <c r="K467" s="2" t="n">
        <v>1856</v>
      </c>
      <c r="L467" s="2" t="n">
        <v>0</v>
      </c>
      <c r="M467" s="2" t="n">
        <v>211</v>
      </c>
      <c r="N467" s="2" t="n">
        <v>666</v>
      </c>
      <c r="O467" s="2" t="n">
        <v>1102</v>
      </c>
      <c r="Q467" s="2" t="n">
        <f aca="false">F467+G467+H467</f>
        <v>4060</v>
      </c>
    </row>
    <row r="468" customFormat="false" ht="12.8" hidden="false" customHeight="false" outlineLevel="0" collapsed="false">
      <c r="A468" s="2" t="s">
        <v>259</v>
      </c>
      <c r="B468" s="2" t="s">
        <v>211</v>
      </c>
      <c r="C468" s="2" t="s">
        <v>222</v>
      </c>
      <c r="D468" s="2" t="n">
        <v>1650</v>
      </c>
      <c r="E468" s="2" t="n">
        <v>0</v>
      </c>
      <c r="F468" s="2" t="n">
        <v>1631</v>
      </c>
      <c r="G468" s="2" t="n">
        <v>681</v>
      </c>
      <c r="H468" s="2" t="n">
        <v>2545</v>
      </c>
      <c r="I468" s="2" t="n">
        <v>3477</v>
      </c>
      <c r="J468" s="2" t="n">
        <v>0</v>
      </c>
      <c r="K468" s="2" t="n">
        <v>2113</v>
      </c>
      <c r="L468" s="2" t="n">
        <v>0</v>
      </c>
      <c r="M468" s="2" t="n">
        <v>301</v>
      </c>
      <c r="N468" s="2" t="n">
        <v>738</v>
      </c>
      <c r="O468" s="2" t="n">
        <v>1334</v>
      </c>
      <c r="Q468" s="2" t="n">
        <f aca="false">F468+G468+H468</f>
        <v>4857</v>
      </c>
    </row>
    <row r="469" customFormat="false" ht="12.8" hidden="false" customHeight="false" outlineLevel="0" collapsed="false">
      <c r="A469" s="2" t="s">
        <v>259</v>
      </c>
      <c r="B469" s="2" t="s">
        <v>211</v>
      </c>
      <c r="C469" s="2" t="s">
        <v>223</v>
      </c>
      <c r="D469" s="2" t="n">
        <v>997</v>
      </c>
      <c r="E469" s="2" t="n">
        <v>0</v>
      </c>
      <c r="F469" s="2" t="n">
        <v>1832</v>
      </c>
      <c r="G469" s="2" t="n">
        <v>423</v>
      </c>
      <c r="H469" s="2" t="n">
        <v>2251</v>
      </c>
      <c r="I469" s="2" t="n">
        <v>2967</v>
      </c>
      <c r="J469" s="2" t="n">
        <v>0</v>
      </c>
      <c r="K469" s="2" t="n">
        <v>2128</v>
      </c>
      <c r="L469" s="2" t="n">
        <v>0</v>
      </c>
      <c r="M469" s="2" t="n">
        <v>262</v>
      </c>
      <c r="N469" s="2" t="n">
        <v>802</v>
      </c>
      <c r="O469" s="2" t="n">
        <v>1261</v>
      </c>
      <c r="Q469" s="2" t="n">
        <f aca="false">F469+G469+H469</f>
        <v>4506</v>
      </c>
    </row>
    <row r="470" customFormat="false" ht="12.8" hidden="false" customHeight="false" outlineLevel="0" collapsed="false">
      <c r="A470" s="2" t="s">
        <v>259</v>
      </c>
      <c r="B470" s="2" t="s">
        <v>211</v>
      </c>
      <c r="C470" s="2" t="s">
        <v>224</v>
      </c>
      <c r="D470" s="2" t="n">
        <v>1092</v>
      </c>
      <c r="E470" s="2" t="n">
        <v>0</v>
      </c>
      <c r="F470" s="2" t="n">
        <v>1848</v>
      </c>
      <c r="G470" s="2" t="n">
        <v>646</v>
      </c>
      <c r="H470" s="2" t="n">
        <v>2172</v>
      </c>
      <c r="I470" s="2" t="n">
        <v>3126</v>
      </c>
      <c r="J470" s="2" t="n">
        <v>0</v>
      </c>
      <c r="K470" s="2" t="n">
        <v>2109</v>
      </c>
      <c r="L470" s="2" t="n">
        <v>0</v>
      </c>
      <c r="M470" s="2" t="n">
        <v>274</v>
      </c>
      <c r="N470" s="2" t="n">
        <v>715</v>
      </c>
      <c r="O470" s="2" t="n">
        <v>1337</v>
      </c>
      <c r="Q470" s="2" t="n">
        <f aca="false">F470+G470+H470</f>
        <v>4666</v>
      </c>
    </row>
    <row r="471" customFormat="false" ht="12.8" hidden="false" customHeight="false" outlineLevel="0" collapsed="false">
      <c r="A471" s="2" t="s">
        <v>260</v>
      </c>
      <c r="B471" s="2" t="s">
        <v>211</v>
      </c>
      <c r="C471" s="2" t="s">
        <v>212</v>
      </c>
      <c r="D471" s="2" t="n">
        <v>1305</v>
      </c>
      <c r="E471" s="2" t="n">
        <v>0</v>
      </c>
      <c r="F471" s="2" t="n">
        <v>600</v>
      </c>
      <c r="G471" s="2" t="n">
        <v>87</v>
      </c>
      <c r="H471" s="2" t="n">
        <v>1079</v>
      </c>
      <c r="I471" s="2" t="n">
        <v>929</v>
      </c>
      <c r="J471" s="2" t="n">
        <v>451</v>
      </c>
      <c r="K471" s="2" t="n">
        <v>746</v>
      </c>
      <c r="L471" s="2" t="n">
        <v>0</v>
      </c>
      <c r="M471" s="2" t="n">
        <v>172</v>
      </c>
      <c r="N471" s="2" t="n">
        <v>411</v>
      </c>
      <c r="O471" s="2" t="n">
        <v>639</v>
      </c>
      <c r="Q471" s="2" t="n">
        <f aca="false">F471+G471+H471</f>
        <v>1766</v>
      </c>
    </row>
    <row r="472" customFormat="false" ht="12.8" hidden="false" customHeight="false" outlineLevel="0" collapsed="false">
      <c r="A472" s="2" t="s">
        <v>260</v>
      </c>
      <c r="B472" s="2" t="s">
        <v>211</v>
      </c>
      <c r="C472" s="2" t="s">
        <v>213</v>
      </c>
      <c r="D472" s="2" t="n">
        <v>544</v>
      </c>
      <c r="E472" s="2" t="n">
        <v>0</v>
      </c>
      <c r="F472" s="2" t="n">
        <v>699</v>
      </c>
      <c r="G472" s="2" t="n">
        <v>267</v>
      </c>
      <c r="H472" s="2" t="n">
        <v>1079</v>
      </c>
      <c r="I472" s="2" t="n">
        <v>1203</v>
      </c>
      <c r="J472" s="2" t="n">
        <v>471</v>
      </c>
      <c r="K472" s="2" t="n">
        <v>877</v>
      </c>
      <c r="L472" s="2" t="n">
        <v>0</v>
      </c>
      <c r="M472" s="2" t="n">
        <v>124</v>
      </c>
      <c r="N472" s="2" t="n">
        <v>563</v>
      </c>
      <c r="O472" s="2" t="n">
        <v>762</v>
      </c>
      <c r="Q472" s="2" t="n">
        <f aca="false">F472+G472+H472</f>
        <v>2045</v>
      </c>
    </row>
    <row r="473" customFormat="false" ht="12.8" hidden="false" customHeight="false" outlineLevel="0" collapsed="false">
      <c r="A473" s="2" t="s">
        <v>260</v>
      </c>
      <c r="B473" s="2" t="s">
        <v>211</v>
      </c>
      <c r="C473" s="2" t="s">
        <v>214</v>
      </c>
      <c r="D473" s="2" t="n">
        <v>760</v>
      </c>
      <c r="E473" s="2" t="n">
        <v>0</v>
      </c>
      <c r="F473" s="2" t="n">
        <v>892</v>
      </c>
      <c r="G473" s="2" t="n">
        <v>424</v>
      </c>
      <c r="H473" s="2" t="n">
        <v>1423</v>
      </c>
      <c r="I473" s="2" t="n">
        <v>1692</v>
      </c>
      <c r="J473" s="2" t="n">
        <v>670</v>
      </c>
      <c r="K473" s="2" t="n">
        <v>1110</v>
      </c>
      <c r="L473" s="2" t="n">
        <v>0</v>
      </c>
      <c r="M473" s="2" t="n">
        <v>173</v>
      </c>
      <c r="N473" s="2" t="n">
        <v>726</v>
      </c>
      <c r="O473" s="2" t="n">
        <v>747</v>
      </c>
      <c r="Q473" s="2" t="n">
        <f aca="false">F473+G473+H473</f>
        <v>2739</v>
      </c>
    </row>
    <row r="474" customFormat="false" ht="12.8" hidden="false" customHeight="false" outlineLevel="0" collapsed="false">
      <c r="A474" s="2" t="s">
        <v>260</v>
      </c>
      <c r="B474" s="2" t="s">
        <v>211</v>
      </c>
      <c r="C474" s="2" t="s">
        <v>215</v>
      </c>
      <c r="D474" s="2" t="n">
        <v>680</v>
      </c>
      <c r="E474" s="2" t="n">
        <v>0</v>
      </c>
      <c r="F474" s="2" t="n">
        <v>787</v>
      </c>
      <c r="G474" s="2" t="n">
        <v>413</v>
      </c>
      <c r="H474" s="2" t="n">
        <v>1426</v>
      </c>
      <c r="I474" s="2" t="n">
        <v>1607</v>
      </c>
      <c r="J474" s="2" t="n">
        <v>510</v>
      </c>
      <c r="K474" s="2" t="n">
        <v>1232</v>
      </c>
      <c r="L474" s="2" t="n">
        <v>0</v>
      </c>
      <c r="M474" s="2" t="n">
        <v>213</v>
      </c>
      <c r="N474" s="2" t="n">
        <v>750</v>
      </c>
      <c r="O474" s="2" t="n">
        <v>1034</v>
      </c>
      <c r="Q474" s="2" t="n">
        <f aca="false">F474+G474+H474</f>
        <v>2626</v>
      </c>
    </row>
    <row r="475" customFormat="false" ht="12.8" hidden="false" customHeight="false" outlineLevel="0" collapsed="false">
      <c r="A475" s="2" t="s">
        <v>260</v>
      </c>
      <c r="B475" s="2" t="s">
        <v>211</v>
      </c>
      <c r="C475" s="2" t="s">
        <v>216</v>
      </c>
      <c r="D475" s="2" t="n">
        <v>836</v>
      </c>
      <c r="E475" s="2" t="n">
        <v>0</v>
      </c>
      <c r="F475" s="2" t="n">
        <v>970</v>
      </c>
      <c r="G475" s="2" t="n">
        <v>525</v>
      </c>
      <c r="H475" s="2" t="n">
        <v>1800</v>
      </c>
      <c r="I475" s="2" t="n">
        <v>1968</v>
      </c>
      <c r="J475" s="2" t="n">
        <v>6947</v>
      </c>
      <c r="K475" s="2" t="n">
        <v>1438</v>
      </c>
      <c r="L475" s="2" t="n">
        <v>0</v>
      </c>
      <c r="M475" s="2" t="n">
        <v>219</v>
      </c>
      <c r="N475" s="2" t="n">
        <v>897</v>
      </c>
      <c r="O475" s="2" t="n">
        <v>1173</v>
      </c>
      <c r="Q475" s="2" t="n">
        <f aca="false">F475+G475+H475</f>
        <v>3295</v>
      </c>
    </row>
    <row r="476" customFormat="false" ht="12.8" hidden="false" customHeight="false" outlineLevel="0" collapsed="false">
      <c r="A476" s="2" t="s">
        <v>260</v>
      </c>
      <c r="B476" s="2" t="s">
        <v>211</v>
      </c>
      <c r="C476" s="2" t="s">
        <v>217</v>
      </c>
      <c r="D476" s="2" t="n">
        <v>837</v>
      </c>
      <c r="E476" s="2" t="n">
        <v>0</v>
      </c>
      <c r="F476" s="2" t="n">
        <v>653</v>
      </c>
      <c r="G476" s="2" t="n">
        <v>91</v>
      </c>
      <c r="H476" s="2" t="n">
        <v>1006</v>
      </c>
      <c r="I476" s="2" t="n">
        <v>798</v>
      </c>
      <c r="J476" s="2" t="n">
        <v>452</v>
      </c>
      <c r="K476" s="2" t="n">
        <v>703</v>
      </c>
      <c r="L476" s="2" t="n">
        <v>0</v>
      </c>
      <c r="M476" s="2" t="n">
        <v>283</v>
      </c>
      <c r="N476" s="2" t="n">
        <v>443</v>
      </c>
      <c r="O476" s="2" t="n">
        <v>587</v>
      </c>
      <c r="Q476" s="2" t="n">
        <f aca="false">F476+G476+H476</f>
        <v>1750</v>
      </c>
    </row>
    <row r="477" customFormat="false" ht="12.8" hidden="false" customHeight="false" outlineLevel="0" collapsed="false">
      <c r="A477" s="2" t="s">
        <v>260</v>
      </c>
      <c r="B477" s="2" t="s">
        <v>211</v>
      </c>
      <c r="C477" s="2" t="s">
        <v>218</v>
      </c>
      <c r="D477" s="2" t="n">
        <v>707</v>
      </c>
      <c r="E477" s="2" t="n">
        <v>0</v>
      </c>
      <c r="F477" s="2" t="n">
        <v>725</v>
      </c>
      <c r="G477" s="2" t="n">
        <v>109</v>
      </c>
      <c r="H477" s="2" t="n">
        <v>1100</v>
      </c>
      <c r="I477" s="2" t="n">
        <v>846</v>
      </c>
      <c r="J477" s="2" t="n">
        <v>587</v>
      </c>
      <c r="K477" s="2" t="n">
        <v>781</v>
      </c>
      <c r="L477" s="2" t="n">
        <v>0</v>
      </c>
      <c r="M477" s="2" t="n">
        <v>254</v>
      </c>
      <c r="N477" s="2" t="n">
        <v>475</v>
      </c>
      <c r="O477" s="2" t="n">
        <v>474</v>
      </c>
      <c r="Q477" s="2" t="n">
        <f aca="false">F477+G477+H477</f>
        <v>1934</v>
      </c>
    </row>
    <row r="478" customFormat="false" ht="12.8" hidden="false" customHeight="false" outlineLevel="0" collapsed="false">
      <c r="A478" s="2" t="s">
        <v>260</v>
      </c>
      <c r="B478" s="2" t="s">
        <v>211</v>
      </c>
      <c r="C478" s="2" t="s">
        <v>219</v>
      </c>
      <c r="D478" s="2" t="n">
        <v>735</v>
      </c>
      <c r="E478" s="2" t="n">
        <v>0</v>
      </c>
      <c r="F478" s="2" t="n">
        <v>680</v>
      </c>
      <c r="G478" s="2" t="n">
        <v>120</v>
      </c>
      <c r="H478" s="2" t="n">
        <v>1131</v>
      </c>
      <c r="I478" s="2" t="n">
        <v>1065</v>
      </c>
      <c r="J478" s="2" t="n">
        <v>420</v>
      </c>
      <c r="K478" s="2" t="n">
        <v>864</v>
      </c>
      <c r="L478" s="2" t="n">
        <v>0</v>
      </c>
      <c r="M478" s="2" t="n">
        <v>154</v>
      </c>
      <c r="N478" s="2" t="n">
        <v>435</v>
      </c>
      <c r="O478" s="2" t="n">
        <v>641</v>
      </c>
      <c r="Q478" s="2" t="n">
        <f aca="false">F478+G478+H478</f>
        <v>1931</v>
      </c>
    </row>
    <row r="479" customFormat="false" ht="12.8" hidden="false" customHeight="false" outlineLevel="0" collapsed="false">
      <c r="A479" s="2" t="s">
        <v>260</v>
      </c>
      <c r="B479" s="2" t="s">
        <v>211</v>
      </c>
      <c r="C479" s="2" t="s">
        <v>220</v>
      </c>
      <c r="D479" s="2" t="n">
        <v>780</v>
      </c>
      <c r="E479" s="2" t="n">
        <v>0</v>
      </c>
      <c r="F479" s="2" t="n">
        <v>680</v>
      </c>
      <c r="G479" s="2" t="n">
        <v>151</v>
      </c>
      <c r="H479" s="2" t="n">
        <v>1286</v>
      </c>
      <c r="I479" s="2" t="n">
        <v>1200</v>
      </c>
      <c r="J479" s="2" t="n">
        <v>475</v>
      </c>
      <c r="K479" s="2" t="n">
        <v>911</v>
      </c>
      <c r="L479" s="2" t="n">
        <v>0</v>
      </c>
      <c r="M479" s="2" t="n">
        <v>126</v>
      </c>
      <c r="N479" s="2" t="n">
        <v>487</v>
      </c>
      <c r="O479" s="2" t="n">
        <v>754</v>
      </c>
      <c r="Q479" s="2" t="n">
        <f aca="false">F479+G479+H479</f>
        <v>2117</v>
      </c>
    </row>
    <row r="480" customFormat="false" ht="12.8" hidden="false" customHeight="false" outlineLevel="0" collapsed="false">
      <c r="A480" s="2" t="s">
        <v>260</v>
      </c>
      <c r="B480" s="2" t="s">
        <v>211</v>
      </c>
      <c r="C480" s="2" t="s">
        <v>221</v>
      </c>
      <c r="D480" s="2" t="n">
        <v>1063</v>
      </c>
      <c r="E480" s="2" t="n">
        <v>0</v>
      </c>
      <c r="F480" s="2" t="n">
        <v>739</v>
      </c>
      <c r="G480" s="2" t="n">
        <v>185</v>
      </c>
      <c r="H480" s="2" t="n">
        <v>1730</v>
      </c>
      <c r="I480" s="2" t="n">
        <v>1612</v>
      </c>
      <c r="J480" s="2" t="n">
        <v>548</v>
      </c>
      <c r="K480" s="2" t="n">
        <v>1054</v>
      </c>
      <c r="L480" s="2" t="n">
        <v>0</v>
      </c>
      <c r="M480" s="2" t="n">
        <v>205</v>
      </c>
      <c r="N480" s="2" t="n">
        <v>579</v>
      </c>
      <c r="O480" s="2" t="n">
        <v>1024</v>
      </c>
      <c r="Q480" s="2" t="n">
        <f aca="false">F480+G480+H480</f>
        <v>2654</v>
      </c>
    </row>
    <row r="481" customFormat="false" ht="12.8" hidden="false" customHeight="false" outlineLevel="0" collapsed="false">
      <c r="A481" s="2" t="s">
        <v>260</v>
      </c>
      <c r="B481" s="2" t="s">
        <v>211</v>
      </c>
      <c r="C481" s="2" t="s">
        <v>222</v>
      </c>
      <c r="D481" s="2" t="n">
        <v>780</v>
      </c>
      <c r="E481" s="2" t="n">
        <v>0</v>
      </c>
      <c r="F481" s="2" t="n">
        <v>826</v>
      </c>
      <c r="G481" s="2" t="n">
        <v>168</v>
      </c>
      <c r="H481" s="2" t="n">
        <v>1496</v>
      </c>
      <c r="I481" s="2" t="n">
        <v>1316</v>
      </c>
      <c r="J481" s="2" t="n">
        <v>648</v>
      </c>
      <c r="K481" s="2" t="n">
        <v>987</v>
      </c>
      <c r="L481" s="2" t="n">
        <v>0</v>
      </c>
      <c r="M481" s="2" t="n">
        <v>183</v>
      </c>
      <c r="N481" s="2" t="n">
        <v>613</v>
      </c>
      <c r="O481" s="2" t="n">
        <v>826</v>
      </c>
      <c r="Q481" s="2" t="n">
        <f aca="false">F481+G481+H481</f>
        <v>2490</v>
      </c>
    </row>
    <row r="482" customFormat="false" ht="12.8" hidden="false" customHeight="false" outlineLevel="0" collapsed="false">
      <c r="A482" s="2" t="s">
        <v>260</v>
      </c>
      <c r="B482" s="2" t="s">
        <v>211</v>
      </c>
      <c r="C482" s="2" t="s">
        <v>223</v>
      </c>
      <c r="D482" s="2" t="n">
        <v>655</v>
      </c>
      <c r="E482" s="2" t="n">
        <v>0</v>
      </c>
      <c r="F482" s="2" t="n">
        <v>736</v>
      </c>
      <c r="G482" s="2" t="n">
        <v>215</v>
      </c>
      <c r="H482" s="2" t="n">
        <v>1359</v>
      </c>
      <c r="I482" s="2" t="n">
        <v>1460</v>
      </c>
      <c r="J482" s="2" t="n">
        <v>513</v>
      </c>
      <c r="K482" s="2" t="n">
        <v>832</v>
      </c>
      <c r="L482" s="2" t="n">
        <v>0</v>
      </c>
      <c r="M482" s="2" t="n">
        <v>110</v>
      </c>
      <c r="N482" s="2" t="n">
        <v>571</v>
      </c>
      <c r="O482" s="2" t="n">
        <v>742</v>
      </c>
      <c r="Q482" s="2" t="n">
        <f aca="false">F482+G482+H482</f>
        <v>2310</v>
      </c>
    </row>
    <row r="483" customFormat="false" ht="12.8" hidden="false" customHeight="false" outlineLevel="0" collapsed="false">
      <c r="A483" s="2" t="s">
        <v>260</v>
      </c>
      <c r="B483" s="2" t="s">
        <v>211</v>
      </c>
      <c r="C483" s="2" t="s">
        <v>224</v>
      </c>
      <c r="D483" s="2" t="n">
        <v>744</v>
      </c>
      <c r="E483" s="2" t="n">
        <v>0</v>
      </c>
      <c r="F483" s="2" t="n">
        <v>814</v>
      </c>
      <c r="G483" s="2" t="n">
        <v>383</v>
      </c>
      <c r="H483" s="2" t="n">
        <v>1426</v>
      </c>
      <c r="I483" s="2" t="n">
        <v>1593</v>
      </c>
      <c r="J483" s="2" t="n">
        <v>599</v>
      </c>
      <c r="K483" s="2" t="n">
        <v>988</v>
      </c>
      <c r="L483" s="2" t="n">
        <v>0</v>
      </c>
      <c r="M483" s="2" t="n">
        <v>129</v>
      </c>
      <c r="N483" s="2" t="n">
        <v>699</v>
      </c>
      <c r="O483" s="2" t="n">
        <v>849</v>
      </c>
      <c r="Q483" s="2" t="n">
        <f aca="false">F483+G483+H483</f>
        <v>2623</v>
      </c>
    </row>
    <row r="484" customFormat="false" ht="12.8" hidden="false" customHeight="false" outlineLevel="0" collapsed="false">
      <c r="A484" s="2" t="s">
        <v>261</v>
      </c>
      <c r="B484" s="2" t="s">
        <v>211</v>
      </c>
      <c r="C484" s="2" t="s">
        <v>212</v>
      </c>
      <c r="D484" s="2" t="n">
        <v>1171</v>
      </c>
      <c r="E484" s="2" t="n">
        <v>0</v>
      </c>
      <c r="F484" s="2" t="n">
        <v>1072</v>
      </c>
      <c r="G484" s="2" t="n">
        <v>172</v>
      </c>
      <c r="H484" s="2" t="n">
        <v>477</v>
      </c>
      <c r="I484" s="2" t="n">
        <v>1042</v>
      </c>
      <c r="J484" s="2" t="n">
        <v>0</v>
      </c>
      <c r="K484" s="2" t="n">
        <v>927</v>
      </c>
      <c r="L484" s="2" t="n">
        <v>0</v>
      </c>
      <c r="M484" s="2" t="n">
        <v>53</v>
      </c>
      <c r="N484" s="2" t="n">
        <v>493</v>
      </c>
      <c r="O484" s="2" t="n">
        <v>659</v>
      </c>
      <c r="Q484" s="2" t="n">
        <f aca="false">F484+G484+H484</f>
        <v>1721</v>
      </c>
    </row>
    <row r="485" customFormat="false" ht="12.8" hidden="false" customHeight="false" outlineLevel="0" collapsed="false">
      <c r="A485" s="2" t="s">
        <v>261</v>
      </c>
      <c r="B485" s="2" t="s">
        <v>211</v>
      </c>
      <c r="C485" s="2" t="s">
        <v>213</v>
      </c>
      <c r="D485" s="2" t="n">
        <v>210</v>
      </c>
      <c r="E485" s="2" t="n">
        <v>0</v>
      </c>
      <c r="F485" s="2" t="n">
        <v>966</v>
      </c>
      <c r="G485" s="2" t="n">
        <v>123</v>
      </c>
      <c r="H485" s="2" t="n">
        <v>317</v>
      </c>
      <c r="I485" s="2" t="n">
        <v>773</v>
      </c>
      <c r="J485" s="2" t="n">
        <v>0</v>
      </c>
      <c r="K485" s="2" t="n">
        <v>788</v>
      </c>
      <c r="L485" s="2" t="n">
        <v>0</v>
      </c>
      <c r="M485" s="2" t="n">
        <v>50</v>
      </c>
      <c r="N485" s="2" t="n">
        <v>454</v>
      </c>
      <c r="O485" s="2" t="n">
        <v>511</v>
      </c>
      <c r="Q485" s="2" t="n">
        <f aca="false">F485+G485+H485</f>
        <v>1406</v>
      </c>
    </row>
    <row r="486" customFormat="false" ht="12.8" hidden="false" customHeight="false" outlineLevel="0" collapsed="false">
      <c r="A486" s="2" t="s">
        <v>261</v>
      </c>
      <c r="B486" s="2" t="s">
        <v>211</v>
      </c>
      <c r="C486" s="2" t="s">
        <v>214</v>
      </c>
      <c r="D486" s="2" t="n">
        <v>203</v>
      </c>
      <c r="E486" s="2" t="n">
        <v>0</v>
      </c>
      <c r="F486" s="2" t="n">
        <v>1233</v>
      </c>
      <c r="G486" s="2" t="n">
        <v>96</v>
      </c>
      <c r="H486" s="2" t="n">
        <v>363</v>
      </c>
      <c r="I486" s="2" t="n">
        <v>1006</v>
      </c>
      <c r="J486" s="2" t="n">
        <v>0</v>
      </c>
      <c r="K486" s="2" t="n">
        <v>786</v>
      </c>
      <c r="L486" s="2" t="n">
        <v>0</v>
      </c>
      <c r="M486" s="2" t="n">
        <v>74</v>
      </c>
      <c r="N486" s="2" t="n">
        <v>507</v>
      </c>
      <c r="O486" s="2" t="n">
        <v>515</v>
      </c>
      <c r="Q486" s="2" t="n">
        <f aca="false">F486+G486+H486</f>
        <v>1692</v>
      </c>
    </row>
    <row r="487" customFormat="false" ht="12.8" hidden="false" customHeight="false" outlineLevel="0" collapsed="false">
      <c r="A487" s="2" t="s">
        <v>261</v>
      </c>
      <c r="B487" s="2" t="s">
        <v>211</v>
      </c>
      <c r="C487" s="2" t="s">
        <v>215</v>
      </c>
      <c r="D487" s="2" t="n">
        <v>235</v>
      </c>
      <c r="E487" s="2" t="n">
        <v>0</v>
      </c>
      <c r="F487" s="2" t="n">
        <v>1274</v>
      </c>
      <c r="G487" s="2" t="n">
        <v>118</v>
      </c>
      <c r="H487" s="2" t="n">
        <v>352</v>
      </c>
      <c r="I487" s="2" t="n">
        <v>1073</v>
      </c>
      <c r="J487" s="2" t="n">
        <v>0</v>
      </c>
      <c r="K487" s="2" t="n">
        <v>814</v>
      </c>
      <c r="L487" s="2" t="n">
        <v>0</v>
      </c>
      <c r="M487" s="2" t="n">
        <v>56</v>
      </c>
      <c r="N487" s="2" t="n">
        <v>666</v>
      </c>
      <c r="O487" s="2" t="n">
        <v>483</v>
      </c>
      <c r="Q487" s="2" t="n">
        <f aca="false">F487+G487+H487</f>
        <v>1744</v>
      </c>
    </row>
    <row r="488" customFormat="false" ht="12.8" hidden="false" customHeight="false" outlineLevel="0" collapsed="false">
      <c r="A488" s="2" t="s">
        <v>261</v>
      </c>
      <c r="B488" s="2" t="s">
        <v>211</v>
      </c>
      <c r="C488" s="2" t="s">
        <v>216</v>
      </c>
      <c r="D488" s="2" t="n">
        <v>233</v>
      </c>
      <c r="E488" s="2" t="n">
        <v>0</v>
      </c>
      <c r="F488" s="2" t="n">
        <v>1345</v>
      </c>
      <c r="G488" s="2" t="n">
        <v>124</v>
      </c>
      <c r="H488" s="2" t="n">
        <v>416</v>
      </c>
      <c r="I488" s="2" t="n">
        <v>1099</v>
      </c>
      <c r="J488" s="2" t="n">
        <v>0</v>
      </c>
      <c r="K488" s="2" t="n">
        <v>897</v>
      </c>
      <c r="L488" s="2" t="n">
        <v>0</v>
      </c>
      <c r="M488" s="2" t="n">
        <v>83</v>
      </c>
      <c r="N488" s="2" t="n">
        <v>642</v>
      </c>
      <c r="O488" s="2" t="n">
        <v>618</v>
      </c>
      <c r="Q488" s="2" t="n">
        <f aca="false">F488+G488+H488</f>
        <v>1885</v>
      </c>
    </row>
    <row r="489" customFormat="false" ht="12.8" hidden="false" customHeight="false" outlineLevel="0" collapsed="false">
      <c r="A489" s="2" t="s">
        <v>261</v>
      </c>
      <c r="B489" s="2" t="s">
        <v>211</v>
      </c>
      <c r="C489" s="2" t="s">
        <v>217</v>
      </c>
      <c r="D489" s="2" t="n">
        <v>751</v>
      </c>
      <c r="E489" s="2" t="n">
        <v>0</v>
      </c>
      <c r="F489" s="2" t="n">
        <v>1255</v>
      </c>
      <c r="G489" s="2" t="n">
        <v>168</v>
      </c>
      <c r="H489" s="2" t="n">
        <v>457</v>
      </c>
      <c r="I489" s="2" t="n">
        <v>989</v>
      </c>
      <c r="J489" s="2" t="n">
        <v>0</v>
      </c>
      <c r="K489" s="2" t="n">
        <v>1128</v>
      </c>
      <c r="L489" s="2" t="n">
        <v>0</v>
      </c>
      <c r="M489" s="2" t="n">
        <v>40</v>
      </c>
      <c r="N489" s="2" t="n">
        <v>571</v>
      </c>
      <c r="O489" s="2" t="n">
        <v>667</v>
      </c>
      <c r="Q489" s="2" t="n">
        <f aca="false">F489+G489+H489</f>
        <v>1880</v>
      </c>
    </row>
    <row r="490" customFormat="false" ht="12.8" hidden="false" customHeight="false" outlineLevel="0" collapsed="false">
      <c r="A490" s="2" t="s">
        <v>261</v>
      </c>
      <c r="B490" s="2" t="s">
        <v>211</v>
      </c>
      <c r="C490" s="2" t="s">
        <v>218</v>
      </c>
      <c r="D490" s="2" t="n">
        <v>562</v>
      </c>
      <c r="E490" s="2" t="n">
        <v>0</v>
      </c>
      <c r="F490" s="2" t="n">
        <v>1098</v>
      </c>
      <c r="G490" s="2" t="n">
        <v>156</v>
      </c>
      <c r="H490" s="2" t="n">
        <v>519</v>
      </c>
      <c r="I490" s="2" t="n">
        <v>1105</v>
      </c>
      <c r="J490" s="2" t="n">
        <v>0</v>
      </c>
      <c r="K490" s="2" t="n">
        <v>944</v>
      </c>
      <c r="L490" s="2" t="n">
        <v>0</v>
      </c>
      <c r="M490" s="2" t="n">
        <v>50</v>
      </c>
      <c r="N490" s="2" t="n">
        <v>500</v>
      </c>
      <c r="O490" s="2" t="n">
        <v>623</v>
      </c>
      <c r="Q490" s="2" t="n">
        <f aca="false">F490+G490+H490</f>
        <v>1773</v>
      </c>
    </row>
    <row r="491" customFormat="false" ht="12.8" hidden="false" customHeight="false" outlineLevel="0" collapsed="false">
      <c r="A491" s="2" t="s">
        <v>261</v>
      </c>
      <c r="B491" s="2" t="s">
        <v>211</v>
      </c>
      <c r="C491" s="2" t="s">
        <v>219</v>
      </c>
      <c r="D491" s="2" t="n">
        <v>449</v>
      </c>
      <c r="E491" s="2" t="n">
        <v>0</v>
      </c>
      <c r="F491" s="2" t="n">
        <v>1163</v>
      </c>
      <c r="G491" s="2" t="n">
        <v>173</v>
      </c>
      <c r="H491" s="2" t="n">
        <v>457</v>
      </c>
      <c r="I491" s="2" t="n">
        <v>1026</v>
      </c>
      <c r="J491" s="2" t="n">
        <v>0</v>
      </c>
      <c r="K491" s="2" t="n">
        <v>999</v>
      </c>
      <c r="L491" s="2" t="n">
        <v>0</v>
      </c>
      <c r="M491" s="2" t="n">
        <v>39</v>
      </c>
      <c r="N491" s="2" t="n">
        <v>565</v>
      </c>
      <c r="O491" s="2" t="n">
        <v>593</v>
      </c>
      <c r="Q491" s="2" t="n">
        <f aca="false">F491+G491+H491</f>
        <v>1793</v>
      </c>
    </row>
    <row r="492" customFormat="false" ht="12.8" hidden="false" customHeight="false" outlineLevel="0" collapsed="false">
      <c r="A492" s="2" t="s">
        <v>261</v>
      </c>
      <c r="B492" s="2" t="s">
        <v>211</v>
      </c>
      <c r="C492" s="2" t="s">
        <v>220</v>
      </c>
      <c r="D492" s="2" t="n">
        <v>358</v>
      </c>
      <c r="E492" s="2" t="n">
        <v>0</v>
      </c>
      <c r="F492" s="2" t="n">
        <v>945</v>
      </c>
      <c r="G492" s="2" t="n">
        <v>167</v>
      </c>
      <c r="H492" s="2" t="n">
        <v>466</v>
      </c>
      <c r="I492" s="2" t="n">
        <v>885</v>
      </c>
      <c r="J492" s="2" t="n">
        <v>0</v>
      </c>
      <c r="K492" s="2" t="n">
        <v>915</v>
      </c>
      <c r="L492" s="2" t="n">
        <v>0</v>
      </c>
      <c r="M492" s="2" t="n">
        <v>40</v>
      </c>
      <c r="N492" s="2" t="n">
        <v>489</v>
      </c>
      <c r="O492" s="2" t="n">
        <v>575</v>
      </c>
      <c r="Q492" s="2" t="n">
        <f aca="false">F492+G492+H492</f>
        <v>1578</v>
      </c>
    </row>
    <row r="493" customFormat="false" ht="12.8" hidden="false" customHeight="false" outlineLevel="0" collapsed="false">
      <c r="A493" s="2" t="s">
        <v>261</v>
      </c>
      <c r="B493" s="2" t="s">
        <v>211</v>
      </c>
      <c r="C493" s="2" t="s">
        <v>221</v>
      </c>
      <c r="D493" s="2" t="n">
        <v>303</v>
      </c>
      <c r="E493" s="2" t="n">
        <v>0</v>
      </c>
      <c r="F493" s="2" t="n">
        <v>1013</v>
      </c>
      <c r="G493" s="2" t="n">
        <v>170</v>
      </c>
      <c r="H493" s="2" t="n">
        <v>344</v>
      </c>
      <c r="I493" s="2" t="n">
        <v>761</v>
      </c>
      <c r="J493" s="2" t="n">
        <v>0</v>
      </c>
      <c r="K493" s="2" t="n">
        <v>991</v>
      </c>
      <c r="L493" s="2" t="n">
        <v>0</v>
      </c>
      <c r="M493" s="2" t="n">
        <v>33</v>
      </c>
      <c r="N493" s="2" t="n">
        <v>524</v>
      </c>
      <c r="O493" s="2" t="n">
        <v>557</v>
      </c>
      <c r="Q493" s="2" t="n">
        <f aca="false">F493+G493+H493</f>
        <v>1527</v>
      </c>
    </row>
    <row r="494" customFormat="false" ht="12.8" hidden="false" customHeight="false" outlineLevel="0" collapsed="false">
      <c r="A494" s="2" t="s">
        <v>261</v>
      </c>
      <c r="B494" s="2" t="s">
        <v>211</v>
      </c>
      <c r="C494" s="2" t="s">
        <v>222</v>
      </c>
      <c r="D494" s="2" t="n">
        <v>642</v>
      </c>
      <c r="E494" s="2" t="n">
        <v>0</v>
      </c>
      <c r="F494" s="2" t="n">
        <v>1096</v>
      </c>
      <c r="G494" s="2" t="n">
        <v>177</v>
      </c>
      <c r="H494" s="2" t="n">
        <v>410</v>
      </c>
      <c r="I494" s="2" t="n">
        <v>1081</v>
      </c>
      <c r="J494" s="2" t="n">
        <v>0</v>
      </c>
      <c r="K494" s="2" t="n">
        <v>916</v>
      </c>
      <c r="L494" s="2" t="n">
        <v>0</v>
      </c>
      <c r="M494" s="2" t="n">
        <v>21</v>
      </c>
      <c r="N494" s="2" t="n">
        <v>559</v>
      </c>
      <c r="O494" s="2" t="n">
        <v>553</v>
      </c>
      <c r="Q494" s="2" t="n">
        <f aca="false">F494+G494+H494</f>
        <v>1683</v>
      </c>
    </row>
    <row r="495" customFormat="false" ht="12.8" hidden="false" customHeight="false" outlineLevel="0" collapsed="false">
      <c r="A495" s="2" t="s">
        <v>261</v>
      </c>
      <c r="B495" s="2" t="s">
        <v>211</v>
      </c>
      <c r="C495" s="2" t="s">
        <v>223</v>
      </c>
      <c r="D495" s="2" t="n">
        <v>298</v>
      </c>
      <c r="E495" s="2" t="n">
        <v>0</v>
      </c>
      <c r="F495" s="2" t="n">
        <v>1232</v>
      </c>
      <c r="G495" s="2" t="n">
        <v>166</v>
      </c>
      <c r="H495" s="2" t="n">
        <v>417</v>
      </c>
      <c r="I495" s="2" t="n">
        <v>1019</v>
      </c>
      <c r="J495" s="2" t="n">
        <v>0</v>
      </c>
      <c r="K495" s="2" t="n">
        <v>1078</v>
      </c>
      <c r="L495" s="2" t="n">
        <v>0</v>
      </c>
      <c r="M495" s="2" t="n">
        <v>45</v>
      </c>
      <c r="N495" s="2" t="n">
        <v>545</v>
      </c>
      <c r="O495" s="2" t="n">
        <v>652</v>
      </c>
      <c r="Q495" s="2" t="n">
        <f aca="false">F495+G495+H495</f>
        <v>1815</v>
      </c>
    </row>
    <row r="496" customFormat="false" ht="12.8" hidden="false" customHeight="false" outlineLevel="0" collapsed="false">
      <c r="A496" s="2" t="s">
        <v>261</v>
      </c>
      <c r="B496" s="2" t="s">
        <v>211</v>
      </c>
      <c r="C496" s="2" t="s">
        <v>224</v>
      </c>
      <c r="D496" s="2" t="n">
        <v>306</v>
      </c>
      <c r="E496" s="2" t="n">
        <v>0</v>
      </c>
      <c r="F496" s="2" t="n">
        <v>1197</v>
      </c>
      <c r="G496" s="2" t="n">
        <v>143</v>
      </c>
      <c r="H496" s="2" t="n">
        <v>421</v>
      </c>
      <c r="I496" s="2" t="n">
        <v>1072</v>
      </c>
      <c r="J496" s="2" t="n">
        <v>0</v>
      </c>
      <c r="K496" s="2" t="n">
        <v>859</v>
      </c>
      <c r="L496" s="2" t="n">
        <v>0</v>
      </c>
      <c r="M496" s="2" t="n">
        <v>62</v>
      </c>
      <c r="N496" s="2" t="n">
        <v>554</v>
      </c>
      <c r="O496" s="2" t="n">
        <v>655</v>
      </c>
      <c r="Q496" s="2" t="n">
        <f aca="false">F496+G496+H496</f>
        <v>1761</v>
      </c>
    </row>
    <row r="497" customFormat="false" ht="12.8" hidden="false" customHeight="false" outlineLevel="0" collapsed="false">
      <c r="A497" s="2" t="s">
        <v>262</v>
      </c>
      <c r="B497" s="2" t="s">
        <v>211</v>
      </c>
      <c r="C497" s="2" t="s">
        <v>212</v>
      </c>
      <c r="D497" s="2" t="n">
        <v>639</v>
      </c>
      <c r="E497" s="2" t="n">
        <v>0</v>
      </c>
      <c r="F497" s="2" t="n">
        <v>99</v>
      </c>
      <c r="G497" s="2" t="n">
        <v>222</v>
      </c>
      <c r="H497" s="2" t="n">
        <v>596</v>
      </c>
      <c r="I497" s="2" t="n">
        <v>286</v>
      </c>
      <c r="J497" s="2" t="n">
        <v>16</v>
      </c>
      <c r="K497" s="2" t="n">
        <v>797</v>
      </c>
      <c r="L497" s="2" t="n">
        <v>0</v>
      </c>
      <c r="M497" s="2" t="n">
        <v>163</v>
      </c>
      <c r="N497" s="2" t="n">
        <v>498</v>
      </c>
      <c r="O497" s="2" t="n">
        <v>341</v>
      </c>
      <c r="Q497" s="2" t="n">
        <f aca="false">F497+G497+H497</f>
        <v>917</v>
      </c>
    </row>
    <row r="498" customFormat="false" ht="12.8" hidden="false" customHeight="false" outlineLevel="0" collapsed="false">
      <c r="A498" s="2" t="s">
        <v>262</v>
      </c>
      <c r="B498" s="2" t="s">
        <v>211</v>
      </c>
      <c r="C498" s="2" t="s">
        <v>213</v>
      </c>
      <c r="D498" s="2" t="n">
        <v>329</v>
      </c>
      <c r="E498" s="2" t="n">
        <v>0</v>
      </c>
      <c r="F498" s="2" t="n">
        <v>320</v>
      </c>
      <c r="G498" s="2" t="n">
        <v>269</v>
      </c>
      <c r="H498" s="2" t="n">
        <v>672</v>
      </c>
      <c r="I498" s="2" t="n">
        <v>503</v>
      </c>
      <c r="J498" s="2" t="n">
        <v>165</v>
      </c>
      <c r="K498" s="2" t="n">
        <v>875</v>
      </c>
      <c r="L498" s="2" t="n">
        <v>0</v>
      </c>
      <c r="M498" s="2" t="n">
        <v>150</v>
      </c>
      <c r="N498" s="2" t="n">
        <v>527</v>
      </c>
      <c r="O498" s="2" t="n">
        <v>485</v>
      </c>
      <c r="Q498" s="2" t="n">
        <f aca="false">F498+G498+H498</f>
        <v>1261</v>
      </c>
    </row>
    <row r="499" customFormat="false" ht="12.8" hidden="false" customHeight="false" outlineLevel="0" collapsed="false">
      <c r="A499" s="2" t="s">
        <v>262</v>
      </c>
      <c r="B499" s="2" t="s">
        <v>211</v>
      </c>
      <c r="C499" s="2" t="s">
        <v>214</v>
      </c>
      <c r="D499" s="2" t="n">
        <v>488</v>
      </c>
      <c r="E499" s="2" t="n">
        <v>0</v>
      </c>
      <c r="F499" s="2" t="n">
        <v>351</v>
      </c>
      <c r="G499" s="2" t="n">
        <v>361</v>
      </c>
      <c r="H499" s="2" t="n">
        <v>984</v>
      </c>
      <c r="I499" s="2" t="n">
        <v>780</v>
      </c>
      <c r="J499" s="2" t="n">
        <v>244</v>
      </c>
      <c r="K499" s="2" t="n">
        <v>1079</v>
      </c>
      <c r="L499" s="2" t="n">
        <v>0</v>
      </c>
      <c r="M499" s="2" t="n">
        <v>176</v>
      </c>
      <c r="N499" s="2" t="n">
        <v>655</v>
      </c>
      <c r="O499" s="2" t="n">
        <v>412</v>
      </c>
      <c r="Q499" s="2" t="n">
        <f aca="false">F499+G499+H499</f>
        <v>1696</v>
      </c>
    </row>
    <row r="500" customFormat="false" ht="12.8" hidden="false" customHeight="false" outlineLevel="0" collapsed="false">
      <c r="A500" s="2" t="s">
        <v>262</v>
      </c>
      <c r="B500" s="2" t="s">
        <v>211</v>
      </c>
      <c r="C500" s="2" t="s">
        <v>215</v>
      </c>
      <c r="D500" s="2" t="n">
        <v>461</v>
      </c>
      <c r="E500" s="2" t="n">
        <v>0</v>
      </c>
      <c r="F500" s="2" t="n">
        <v>375</v>
      </c>
      <c r="G500" s="2" t="n">
        <v>313</v>
      </c>
      <c r="H500" s="2" t="n">
        <v>1038</v>
      </c>
      <c r="I500" s="2" t="n">
        <v>833</v>
      </c>
      <c r="J500" s="2" t="n">
        <v>247</v>
      </c>
      <c r="K500" s="2" t="n">
        <v>1012</v>
      </c>
      <c r="L500" s="2" t="n">
        <v>0</v>
      </c>
      <c r="M500" s="2" t="n">
        <v>158</v>
      </c>
      <c r="N500" s="2" t="n">
        <v>594</v>
      </c>
      <c r="O500" s="2" t="n">
        <v>540</v>
      </c>
      <c r="Q500" s="2" t="n">
        <f aca="false">F500+G500+H500</f>
        <v>1726</v>
      </c>
    </row>
    <row r="501" customFormat="false" ht="12.8" hidden="false" customHeight="false" outlineLevel="0" collapsed="false">
      <c r="A501" s="2" t="s">
        <v>262</v>
      </c>
      <c r="B501" s="2" t="s">
        <v>211</v>
      </c>
      <c r="C501" s="2" t="s">
        <v>216</v>
      </c>
      <c r="D501" s="2" t="n">
        <v>420</v>
      </c>
      <c r="E501" s="2" t="n">
        <v>0</v>
      </c>
      <c r="F501" s="2" t="n">
        <v>408</v>
      </c>
      <c r="G501" s="2" t="n">
        <v>386</v>
      </c>
      <c r="H501" s="2" t="n">
        <v>1099</v>
      </c>
      <c r="I501" s="2" t="n">
        <v>902</v>
      </c>
      <c r="J501" s="2" t="n">
        <v>229</v>
      </c>
      <c r="K501" s="2" t="n">
        <v>1108</v>
      </c>
      <c r="L501" s="2" t="n">
        <v>0</v>
      </c>
      <c r="M501" s="2" t="n">
        <v>202</v>
      </c>
      <c r="N501" s="2" t="n">
        <v>736</v>
      </c>
      <c r="O501" s="2" t="n">
        <v>574</v>
      </c>
      <c r="Q501" s="2" t="n">
        <f aca="false">F501+G501+H501</f>
        <v>1893</v>
      </c>
    </row>
    <row r="502" customFormat="false" ht="12.8" hidden="false" customHeight="false" outlineLevel="0" collapsed="false">
      <c r="A502" s="2" t="s">
        <v>262</v>
      </c>
      <c r="B502" s="2" t="s">
        <v>211</v>
      </c>
      <c r="C502" s="2" t="s">
        <v>217</v>
      </c>
      <c r="D502" s="2" t="n">
        <v>627</v>
      </c>
      <c r="E502" s="2" t="n">
        <v>0</v>
      </c>
      <c r="F502" s="2" t="n">
        <v>178</v>
      </c>
      <c r="G502" s="2" t="n">
        <v>328</v>
      </c>
      <c r="H502" s="2" t="n">
        <v>735</v>
      </c>
      <c r="I502" s="2" t="n">
        <v>456</v>
      </c>
      <c r="J502" s="2" t="n">
        <v>15</v>
      </c>
      <c r="K502" s="2" t="n">
        <v>876</v>
      </c>
      <c r="L502" s="2" t="n">
        <v>0</v>
      </c>
      <c r="M502" s="2" t="n">
        <v>208</v>
      </c>
      <c r="N502" s="2" t="n">
        <v>657</v>
      </c>
      <c r="O502" s="2" t="n">
        <v>451</v>
      </c>
      <c r="Q502" s="2" t="n">
        <f aca="false">F502+G502+H502</f>
        <v>1241</v>
      </c>
    </row>
    <row r="503" customFormat="false" ht="12.8" hidden="false" customHeight="false" outlineLevel="0" collapsed="false">
      <c r="A503" s="2" t="s">
        <v>262</v>
      </c>
      <c r="B503" s="2" t="s">
        <v>211</v>
      </c>
      <c r="C503" s="2" t="s">
        <v>218</v>
      </c>
      <c r="D503" s="2" t="n">
        <v>561</v>
      </c>
      <c r="E503" s="2" t="n">
        <v>0</v>
      </c>
      <c r="F503" s="2" t="n">
        <v>198</v>
      </c>
      <c r="G503" s="2" t="n">
        <v>280</v>
      </c>
      <c r="H503" s="2" t="n">
        <v>803</v>
      </c>
      <c r="I503" s="2" t="n">
        <v>469</v>
      </c>
      <c r="J503" s="2" t="n">
        <v>41</v>
      </c>
      <c r="K503" s="2" t="n">
        <v>915</v>
      </c>
      <c r="L503" s="2" t="n">
        <v>0</v>
      </c>
      <c r="M503" s="2" t="n">
        <v>197</v>
      </c>
      <c r="N503" s="2" t="n">
        <v>621</v>
      </c>
      <c r="O503" s="2" t="n">
        <v>445</v>
      </c>
      <c r="Q503" s="2" t="n">
        <f aca="false">F503+G503+H503</f>
        <v>1281</v>
      </c>
    </row>
    <row r="504" customFormat="false" ht="12.8" hidden="false" customHeight="false" outlineLevel="0" collapsed="false">
      <c r="A504" s="2" t="s">
        <v>262</v>
      </c>
      <c r="B504" s="2" t="s">
        <v>211</v>
      </c>
      <c r="C504" s="2" t="s">
        <v>219</v>
      </c>
      <c r="D504" s="2" t="n">
        <v>444</v>
      </c>
      <c r="E504" s="2" t="n">
        <v>0</v>
      </c>
      <c r="F504" s="2" t="n">
        <v>127</v>
      </c>
      <c r="G504" s="2" t="n">
        <v>249</v>
      </c>
      <c r="H504" s="2" t="n">
        <v>721</v>
      </c>
      <c r="I504" s="2" t="n">
        <v>421</v>
      </c>
      <c r="J504" s="2" t="n">
        <v>27</v>
      </c>
      <c r="K504" s="2" t="n">
        <v>789</v>
      </c>
      <c r="L504" s="2" t="n">
        <v>0</v>
      </c>
      <c r="M504" s="2" t="n">
        <v>116</v>
      </c>
      <c r="N504" s="2" t="n">
        <v>516</v>
      </c>
      <c r="O504" s="2" t="n">
        <v>372</v>
      </c>
      <c r="Q504" s="2" t="n">
        <f aca="false">F504+G504+H504</f>
        <v>1097</v>
      </c>
    </row>
    <row r="505" customFormat="false" ht="12.8" hidden="false" customHeight="false" outlineLevel="0" collapsed="false">
      <c r="A505" s="2" t="s">
        <v>262</v>
      </c>
      <c r="B505" s="2" t="s">
        <v>211</v>
      </c>
      <c r="C505" s="2" t="s">
        <v>220</v>
      </c>
      <c r="D505" s="2" t="n">
        <v>496</v>
      </c>
      <c r="E505" s="2" t="n">
        <v>0</v>
      </c>
      <c r="F505" s="2" t="n">
        <v>145</v>
      </c>
      <c r="G505" s="2" t="n">
        <v>290</v>
      </c>
      <c r="H505" s="2" t="n">
        <v>822</v>
      </c>
      <c r="I505" s="2" t="n">
        <v>550</v>
      </c>
      <c r="J505" s="2" t="n">
        <v>26</v>
      </c>
      <c r="K505" s="2" t="n">
        <v>859</v>
      </c>
      <c r="L505" s="2" t="n">
        <v>0</v>
      </c>
      <c r="M505" s="2" t="n">
        <v>146</v>
      </c>
      <c r="N505" s="2" t="n">
        <v>520</v>
      </c>
      <c r="O505" s="2" t="n">
        <v>416</v>
      </c>
      <c r="Q505" s="2" t="n">
        <f aca="false">F505+G505+H505</f>
        <v>1257</v>
      </c>
    </row>
    <row r="506" customFormat="false" ht="12.8" hidden="false" customHeight="false" outlineLevel="0" collapsed="false">
      <c r="A506" s="2" t="s">
        <v>262</v>
      </c>
      <c r="B506" s="2" t="s">
        <v>211</v>
      </c>
      <c r="C506" s="2" t="s">
        <v>221</v>
      </c>
      <c r="D506" s="2" t="n">
        <v>433</v>
      </c>
      <c r="E506" s="2" t="n">
        <v>0</v>
      </c>
      <c r="F506" s="2" t="n">
        <v>136</v>
      </c>
      <c r="G506" s="2" t="n">
        <v>327</v>
      </c>
      <c r="H506" s="2" t="n">
        <v>755</v>
      </c>
      <c r="I506" s="2" t="n">
        <v>476</v>
      </c>
      <c r="J506" s="2" t="n">
        <v>46</v>
      </c>
      <c r="K506" s="2" t="n">
        <v>779</v>
      </c>
      <c r="L506" s="2" t="n">
        <v>0</v>
      </c>
      <c r="M506" s="2" t="n">
        <v>175</v>
      </c>
      <c r="N506" s="2" t="n">
        <v>577</v>
      </c>
      <c r="O506" s="2" t="n">
        <v>451</v>
      </c>
      <c r="Q506" s="2" t="n">
        <f aca="false">F506+G506+H506</f>
        <v>1218</v>
      </c>
    </row>
    <row r="507" customFormat="false" ht="12.8" hidden="false" customHeight="false" outlineLevel="0" collapsed="false">
      <c r="A507" s="2" t="s">
        <v>262</v>
      </c>
      <c r="B507" s="2" t="s">
        <v>211</v>
      </c>
      <c r="C507" s="2" t="s">
        <v>222</v>
      </c>
      <c r="D507" s="2" t="n">
        <v>619</v>
      </c>
      <c r="E507" s="2" t="n">
        <v>0</v>
      </c>
      <c r="F507" s="2" t="n">
        <v>121</v>
      </c>
      <c r="G507" s="2" t="n">
        <v>376</v>
      </c>
      <c r="H507" s="2" t="n">
        <v>1043</v>
      </c>
      <c r="I507" s="2" t="n">
        <v>741</v>
      </c>
      <c r="J507" s="2" t="n">
        <v>95</v>
      </c>
      <c r="K507" s="2" t="n">
        <v>995</v>
      </c>
      <c r="L507" s="2" t="n">
        <v>0</v>
      </c>
      <c r="M507" s="2" t="n">
        <v>209</v>
      </c>
      <c r="N507" s="2" t="n">
        <v>686</v>
      </c>
      <c r="O507" s="2" t="n">
        <v>543</v>
      </c>
      <c r="Q507" s="2" t="n">
        <f aca="false">F507+G507+H507</f>
        <v>1540</v>
      </c>
    </row>
    <row r="508" customFormat="false" ht="12.8" hidden="false" customHeight="false" outlineLevel="0" collapsed="false">
      <c r="A508" s="2" t="s">
        <v>262</v>
      </c>
      <c r="B508" s="2" t="s">
        <v>211</v>
      </c>
      <c r="C508" s="2" t="s">
        <v>223</v>
      </c>
      <c r="D508" s="2" t="n">
        <v>561</v>
      </c>
      <c r="E508" s="2" t="n">
        <v>0</v>
      </c>
      <c r="F508" s="2" t="n">
        <v>218</v>
      </c>
      <c r="G508" s="2" t="n">
        <v>332</v>
      </c>
      <c r="H508" s="2" t="n">
        <v>1122</v>
      </c>
      <c r="I508" s="2" t="n">
        <v>891</v>
      </c>
      <c r="J508" s="2" t="n">
        <v>108</v>
      </c>
      <c r="K508" s="2" t="n">
        <v>1040</v>
      </c>
      <c r="L508" s="2" t="n">
        <v>0</v>
      </c>
      <c r="M508" s="2" t="n">
        <v>209</v>
      </c>
      <c r="N508" s="2" t="n">
        <v>756</v>
      </c>
      <c r="O508" s="2" t="n">
        <v>429</v>
      </c>
      <c r="Q508" s="2" t="n">
        <f aca="false">F508+G508+H508</f>
        <v>1672</v>
      </c>
    </row>
    <row r="509" customFormat="false" ht="12.8" hidden="false" customHeight="false" outlineLevel="0" collapsed="false">
      <c r="A509" s="2" t="s">
        <v>262</v>
      </c>
      <c r="B509" s="2" t="s">
        <v>211</v>
      </c>
      <c r="C509" s="2" t="s">
        <v>224</v>
      </c>
      <c r="D509" s="2" t="n">
        <v>396</v>
      </c>
      <c r="E509" s="2" t="n">
        <v>0</v>
      </c>
      <c r="F509" s="2" t="n">
        <v>255</v>
      </c>
      <c r="G509" s="2" t="n">
        <v>269</v>
      </c>
      <c r="H509" s="2" t="n">
        <v>904</v>
      </c>
      <c r="I509" s="2" t="n">
        <v>678</v>
      </c>
      <c r="J509" s="2" t="n">
        <v>110</v>
      </c>
      <c r="K509" s="2" t="n">
        <v>913</v>
      </c>
      <c r="L509" s="2" t="n">
        <v>0</v>
      </c>
      <c r="M509" s="2" t="n">
        <v>219</v>
      </c>
      <c r="N509" s="2" t="n">
        <v>575</v>
      </c>
      <c r="O509" s="2" t="n">
        <v>375</v>
      </c>
      <c r="Q509" s="2" t="n">
        <f aca="false">F509+G509+H509</f>
        <v>1428</v>
      </c>
    </row>
    <row r="510" customFormat="false" ht="12.8" hidden="false" customHeight="false" outlineLevel="0" collapsed="false">
      <c r="A510" s="2" t="s">
        <v>263</v>
      </c>
      <c r="B510" s="2" t="s">
        <v>211</v>
      </c>
      <c r="C510" s="2" t="s">
        <v>212</v>
      </c>
      <c r="D510" s="2" t="n">
        <v>847</v>
      </c>
      <c r="E510" s="2" t="n">
        <v>0</v>
      </c>
      <c r="F510" s="2" t="n">
        <v>106</v>
      </c>
      <c r="G510" s="2" t="n">
        <v>344</v>
      </c>
      <c r="H510" s="2" t="n">
        <v>675</v>
      </c>
      <c r="I510" s="2" t="n">
        <v>732</v>
      </c>
      <c r="J510" s="2" t="n">
        <v>106</v>
      </c>
      <c r="K510" s="2" t="n">
        <v>803</v>
      </c>
      <c r="L510" s="2" t="n">
        <v>0</v>
      </c>
      <c r="M510" s="2" t="n">
        <v>172</v>
      </c>
      <c r="N510" s="2" t="n">
        <v>144</v>
      </c>
      <c r="O510" s="2" t="n">
        <v>457</v>
      </c>
      <c r="Q510" s="2" t="n">
        <f aca="false">F510+G510+H510</f>
        <v>1125</v>
      </c>
    </row>
    <row r="511" customFormat="false" ht="12.8" hidden="false" customHeight="false" outlineLevel="0" collapsed="false">
      <c r="A511" s="2" t="s">
        <v>263</v>
      </c>
      <c r="B511" s="2" t="s">
        <v>211</v>
      </c>
      <c r="C511" s="2" t="s">
        <v>213</v>
      </c>
      <c r="D511" s="2" t="n">
        <v>599</v>
      </c>
      <c r="E511" s="2" t="n">
        <v>0</v>
      </c>
      <c r="F511" s="2" t="n">
        <v>88</v>
      </c>
      <c r="G511" s="2" t="n">
        <v>437</v>
      </c>
      <c r="H511" s="2" t="n">
        <v>779</v>
      </c>
      <c r="I511" s="2" t="n">
        <v>853</v>
      </c>
      <c r="J511" s="2" t="n">
        <v>88</v>
      </c>
      <c r="K511" s="2" t="n">
        <v>1037</v>
      </c>
      <c r="L511" s="2" t="n">
        <v>0</v>
      </c>
      <c r="M511" s="2" t="n">
        <v>92</v>
      </c>
      <c r="N511" s="2" t="n">
        <v>184</v>
      </c>
      <c r="O511" s="2" t="n">
        <v>808</v>
      </c>
      <c r="Q511" s="2" t="n">
        <f aca="false">F511+G511+H511</f>
        <v>1304</v>
      </c>
    </row>
    <row r="512" customFormat="false" ht="12.8" hidden="false" customHeight="false" outlineLevel="0" collapsed="false">
      <c r="A512" s="2" t="s">
        <v>263</v>
      </c>
      <c r="B512" s="2" t="s">
        <v>211</v>
      </c>
      <c r="C512" s="2" t="s">
        <v>214</v>
      </c>
      <c r="D512" s="2" t="n">
        <v>785</v>
      </c>
      <c r="E512" s="2" t="n">
        <v>0</v>
      </c>
      <c r="F512" s="2" t="n">
        <v>103</v>
      </c>
      <c r="G512" s="2" t="n">
        <v>465</v>
      </c>
      <c r="H512" s="2" t="n">
        <v>1132</v>
      </c>
      <c r="I512" s="2" t="n">
        <v>1110</v>
      </c>
      <c r="J512" s="2" t="n">
        <v>103</v>
      </c>
      <c r="K512" s="2" t="n">
        <v>1376</v>
      </c>
      <c r="L512" s="2" t="n">
        <v>0</v>
      </c>
      <c r="M512" s="2" t="n">
        <v>133</v>
      </c>
      <c r="N512" s="2" t="n">
        <v>309</v>
      </c>
      <c r="O512" s="2" t="n">
        <v>873</v>
      </c>
      <c r="Q512" s="2" t="n">
        <f aca="false">F512+G512+H512</f>
        <v>1700</v>
      </c>
    </row>
    <row r="513" customFormat="false" ht="12.8" hidden="false" customHeight="false" outlineLevel="0" collapsed="false">
      <c r="A513" s="2" t="s">
        <v>263</v>
      </c>
      <c r="B513" s="2" t="s">
        <v>211</v>
      </c>
      <c r="C513" s="2" t="s">
        <v>215</v>
      </c>
      <c r="D513" s="2" t="n">
        <v>614</v>
      </c>
      <c r="E513" s="2" t="n">
        <v>0</v>
      </c>
      <c r="F513" s="2" t="n">
        <v>133</v>
      </c>
      <c r="G513" s="2" t="n">
        <v>461</v>
      </c>
      <c r="H513" s="2" t="n">
        <v>1002</v>
      </c>
      <c r="I513" s="2" t="n">
        <v>998</v>
      </c>
      <c r="J513" s="2" t="n">
        <v>133</v>
      </c>
      <c r="K513" s="2" t="n">
        <v>1222</v>
      </c>
      <c r="L513" s="2" t="n">
        <v>0</v>
      </c>
      <c r="M513" s="2" t="n">
        <v>117</v>
      </c>
      <c r="N513" s="2" t="n">
        <v>290</v>
      </c>
      <c r="O513" s="2" t="n">
        <v>836</v>
      </c>
      <c r="Q513" s="2" t="n">
        <f aca="false">F513+G513+H513</f>
        <v>1596</v>
      </c>
    </row>
    <row r="514" customFormat="false" ht="12.8" hidden="false" customHeight="false" outlineLevel="0" collapsed="false">
      <c r="A514" s="2" t="s">
        <v>263</v>
      </c>
      <c r="B514" s="2" t="s">
        <v>211</v>
      </c>
      <c r="C514" s="2" t="s">
        <v>216</v>
      </c>
      <c r="D514" s="2" t="n">
        <v>810</v>
      </c>
      <c r="E514" s="2" t="n">
        <v>0</v>
      </c>
      <c r="F514" s="2" t="n">
        <v>149</v>
      </c>
      <c r="G514" s="2" t="n">
        <v>587</v>
      </c>
      <c r="H514" s="2" t="n">
        <v>1353</v>
      </c>
      <c r="I514" s="2" t="n">
        <v>1506</v>
      </c>
      <c r="J514" s="2" t="n">
        <v>149</v>
      </c>
      <c r="K514" s="2" t="n">
        <v>1612</v>
      </c>
      <c r="L514" s="2" t="n">
        <v>0</v>
      </c>
      <c r="M514" s="2" t="n">
        <v>89</v>
      </c>
      <c r="N514" s="2" t="n">
        <v>319</v>
      </c>
      <c r="O514" s="2" t="n">
        <v>1097</v>
      </c>
      <c r="Q514" s="2" t="n">
        <f aca="false">F514+G514+H514</f>
        <v>2089</v>
      </c>
    </row>
    <row r="515" customFormat="false" ht="12.8" hidden="false" customHeight="false" outlineLevel="0" collapsed="false">
      <c r="A515" s="2" t="s">
        <v>263</v>
      </c>
      <c r="B515" s="2" t="s">
        <v>211</v>
      </c>
      <c r="C515" s="2" t="s">
        <v>217</v>
      </c>
      <c r="D515" s="2" t="n">
        <v>947</v>
      </c>
      <c r="E515" s="2" t="n">
        <v>0</v>
      </c>
      <c r="F515" s="2" t="n">
        <v>79</v>
      </c>
      <c r="G515" s="2" t="n">
        <v>430</v>
      </c>
      <c r="H515" s="2" t="n">
        <v>891</v>
      </c>
      <c r="I515" s="2" t="n">
        <v>1032</v>
      </c>
      <c r="J515" s="2" t="n">
        <v>79</v>
      </c>
      <c r="K515" s="2" t="n">
        <v>1100</v>
      </c>
      <c r="L515" s="2" t="n">
        <v>0</v>
      </c>
      <c r="M515" s="2" t="n">
        <v>155</v>
      </c>
      <c r="N515" s="2" t="n">
        <v>165</v>
      </c>
      <c r="O515" s="2" t="n">
        <v>803</v>
      </c>
      <c r="Q515" s="2" t="n">
        <f aca="false">F515+G515+H515</f>
        <v>1400</v>
      </c>
    </row>
    <row r="516" customFormat="false" ht="12.8" hidden="false" customHeight="false" outlineLevel="0" collapsed="false">
      <c r="A516" s="2" t="s">
        <v>263</v>
      </c>
      <c r="B516" s="2" t="s">
        <v>211</v>
      </c>
      <c r="C516" s="2" t="s">
        <v>218</v>
      </c>
      <c r="D516" s="2" t="n">
        <v>693</v>
      </c>
      <c r="E516" s="2" t="n">
        <v>0</v>
      </c>
      <c r="F516" s="2" t="n">
        <v>105</v>
      </c>
      <c r="G516" s="2" t="n">
        <v>365</v>
      </c>
      <c r="H516" s="2" t="n">
        <v>814</v>
      </c>
      <c r="I516" s="2" t="n">
        <v>861</v>
      </c>
      <c r="J516" s="2" t="n">
        <v>105</v>
      </c>
      <c r="K516" s="2" t="n">
        <v>917</v>
      </c>
      <c r="L516" s="2" t="n">
        <v>0</v>
      </c>
      <c r="M516" s="2" t="n">
        <v>167</v>
      </c>
      <c r="N516" s="2" t="n">
        <v>159</v>
      </c>
      <c r="O516" s="2" t="n">
        <v>618</v>
      </c>
      <c r="Q516" s="2" t="n">
        <f aca="false">F516+G516+H516</f>
        <v>1284</v>
      </c>
    </row>
    <row r="517" customFormat="false" ht="12.8" hidden="false" customHeight="false" outlineLevel="0" collapsed="false">
      <c r="A517" s="2" t="s">
        <v>263</v>
      </c>
      <c r="B517" s="2" t="s">
        <v>211</v>
      </c>
      <c r="C517" s="2" t="s">
        <v>219</v>
      </c>
      <c r="D517" s="2" t="n">
        <v>693</v>
      </c>
      <c r="E517" s="2" t="n">
        <v>0</v>
      </c>
      <c r="F517" s="2" t="n">
        <v>96</v>
      </c>
      <c r="G517" s="2" t="n">
        <v>391</v>
      </c>
      <c r="H517" s="2" t="n">
        <v>812</v>
      </c>
      <c r="I517" s="2" t="n">
        <v>895</v>
      </c>
      <c r="J517" s="2" t="n">
        <v>96</v>
      </c>
      <c r="K517" s="2" t="n">
        <v>968</v>
      </c>
      <c r="L517" s="2" t="n">
        <v>0</v>
      </c>
      <c r="M517" s="2" t="n">
        <v>126</v>
      </c>
      <c r="N517" s="2" t="n">
        <v>172</v>
      </c>
      <c r="O517" s="2" t="n">
        <v>686</v>
      </c>
      <c r="Q517" s="2" t="n">
        <f aca="false">F517+G517+H517</f>
        <v>1299</v>
      </c>
    </row>
    <row r="518" customFormat="false" ht="12.8" hidden="false" customHeight="false" outlineLevel="0" collapsed="false">
      <c r="A518" s="2" t="s">
        <v>263</v>
      </c>
      <c r="B518" s="2" t="s">
        <v>211</v>
      </c>
      <c r="C518" s="2" t="s">
        <v>220</v>
      </c>
      <c r="D518" s="2" t="n">
        <v>673</v>
      </c>
      <c r="E518" s="2" t="n">
        <v>0</v>
      </c>
      <c r="F518" s="2" t="n">
        <v>120</v>
      </c>
      <c r="G518" s="2" t="n">
        <v>384</v>
      </c>
      <c r="H518" s="2" t="n">
        <v>769</v>
      </c>
      <c r="I518" s="2" t="n">
        <v>904</v>
      </c>
      <c r="J518" s="2" t="n">
        <v>120</v>
      </c>
      <c r="K518" s="2" t="n">
        <v>1006</v>
      </c>
      <c r="L518" s="2" t="n">
        <v>0</v>
      </c>
      <c r="M518" s="2" t="n">
        <v>88</v>
      </c>
      <c r="N518" s="2" t="n">
        <v>163</v>
      </c>
      <c r="O518" s="2" t="n">
        <v>713</v>
      </c>
      <c r="Q518" s="2" t="n">
        <f aca="false">F518+G518+H518</f>
        <v>1273</v>
      </c>
    </row>
    <row r="519" customFormat="false" ht="12.8" hidden="false" customHeight="false" outlineLevel="0" collapsed="false">
      <c r="A519" s="2" t="s">
        <v>263</v>
      </c>
      <c r="B519" s="2" t="s">
        <v>211</v>
      </c>
      <c r="C519" s="2" t="s">
        <v>221</v>
      </c>
      <c r="D519" s="2" t="n">
        <v>654</v>
      </c>
      <c r="E519" s="2" t="n">
        <v>0</v>
      </c>
      <c r="F519" s="2" t="n">
        <v>60</v>
      </c>
      <c r="G519" s="2" t="n">
        <v>353</v>
      </c>
      <c r="H519" s="2" t="n">
        <v>827</v>
      </c>
      <c r="I519" s="2" t="n">
        <v>938</v>
      </c>
      <c r="J519" s="2" t="n">
        <v>60</v>
      </c>
      <c r="K519" s="2" t="n">
        <v>1000</v>
      </c>
      <c r="L519" s="2" t="n">
        <v>0</v>
      </c>
      <c r="M519" s="2" t="n">
        <v>64</v>
      </c>
      <c r="N519" s="2" t="n">
        <v>89</v>
      </c>
      <c r="O519" s="2" t="n">
        <v>690</v>
      </c>
      <c r="Q519" s="2" t="n">
        <f aca="false">F519+G519+H519</f>
        <v>1240</v>
      </c>
    </row>
    <row r="520" customFormat="false" ht="12.8" hidden="false" customHeight="false" outlineLevel="0" collapsed="false">
      <c r="A520" s="2" t="s">
        <v>263</v>
      </c>
      <c r="B520" s="2" t="s">
        <v>211</v>
      </c>
      <c r="C520" s="2" t="s">
        <v>222</v>
      </c>
      <c r="D520" s="2" t="n">
        <v>591</v>
      </c>
      <c r="E520" s="2" t="n">
        <v>0</v>
      </c>
      <c r="F520" s="2" t="n">
        <v>129</v>
      </c>
      <c r="G520" s="2" t="n">
        <v>324</v>
      </c>
      <c r="H520" s="2" t="n">
        <v>656</v>
      </c>
      <c r="I520" s="2" t="n">
        <v>709</v>
      </c>
      <c r="J520" s="2" t="n">
        <v>130</v>
      </c>
      <c r="K520" s="2" t="n">
        <v>798</v>
      </c>
      <c r="L520" s="2" t="n">
        <v>0</v>
      </c>
      <c r="M520" s="2" t="n">
        <v>69</v>
      </c>
      <c r="N520" s="2" t="n">
        <v>158</v>
      </c>
      <c r="O520" s="2" t="n">
        <v>531</v>
      </c>
      <c r="Q520" s="2" t="n">
        <f aca="false">F520+G520+H520</f>
        <v>1109</v>
      </c>
    </row>
    <row r="521" customFormat="false" ht="12.8" hidden="false" customHeight="false" outlineLevel="0" collapsed="false">
      <c r="A521" s="2" t="s">
        <v>263</v>
      </c>
      <c r="B521" s="2" t="s">
        <v>211</v>
      </c>
      <c r="C521" s="2" t="s">
        <v>223</v>
      </c>
      <c r="D521" s="2" t="n">
        <v>696</v>
      </c>
      <c r="E521" s="2" t="n">
        <v>0</v>
      </c>
      <c r="F521" s="2" t="n">
        <v>165</v>
      </c>
      <c r="G521" s="2" t="n">
        <v>371</v>
      </c>
      <c r="H521" s="2" t="n">
        <v>917</v>
      </c>
      <c r="I521" s="2" t="n">
        <v>1009</v>
      </c>
      <c r="J521" s="2" t="n">
        <v>165</v>
      </c>
      <c r="K521" s="2" t="n">
        <v>1091</v>
      </c>
      <c r="L521" s="2" t="n">
        <v>0</v>
      </c>
      <c r="M521" s="2" t="n">
        <v>71</v>
      </c>
      <c r="N521" s="2" t="n">
        <v>160</v>
      </c>
      <c r="O521" s="2" t="n">
        <v>667</v>
      </c>
      <c r="Q521" s="2" t="n">
        <f aca="false">F521+G521+H521</f>
        <v>1453</v>
      </c>
    </row>
    <row r="522" customFormat="false" ht="12.8" hidden="false" customHeight="false" outlineLevel="0" collapsed="false">
      <c r="A522" s="2" t="s">
        <v>263</v>
      </c>
      <c r="B522" s="2" t="s">
        <v>211</v>
      </c>
      <c r="C522" s="2" t="s">
        <v>224</v>
      </c>
      <c r="D522" s="2" t="n">
        <v>588</v>
      </c>
      <c r="E522" s="2" t="n">
        <v>0</v>
      </c>
      <c r="F522" s="2" t="n">
        <v>108</v>
      </c>
      <c r="G522" s="2" t="n">
        <v>380</v>
      </c>
      <c r="H522" s="2" t="n">
        <v>843</v>
      </c>
      <c r="I522" s="2" t="n">
        <v>918</v>
      </c>
      <c r="J522" s="2" t="n">
        <v>119</v>
      </c>
      <c r="K522" s="2" t="n">
        <v>1042</v>
      </c>
      <c r="L522" s="2" t="n">
        <v>0</v>
      </c>
      <c r="M522" s="2" t="n">
        <v>101</v>
      </c>
      <c r="N522" s="2" t="n">
        <v>149</v>
      </c>
      <c r="O522" s="2" t="n">
        <v>543</v>
      </c>
      <c r="Q522" s="2" t="n">
        <f aca="false">F522+G522+H522</f>
        <v>1331</v>
      </c>
    </row>
    <row r="525" customFormat="false" ht="12.8" hidden="false" customHeight="false" outlineLevel="0" collapsed="false">
      <c r="A525" s="2" t="s">
        <v>210</v>
      </c>
      <c r="B525" s="2" t="s">
        <v>264</v>
      </c>
      <c r="C525" s="2" t="s">
        <v>212</v>
      </c>
      <c r="D525" s="2" t="n">
        <v>2190</v>
      </c>
      <c r="E525" s="2" t="n">
        <v>99</v>
      </c>
      <c r="F525" s="2" t="n">
        <v>409</v>
      </c>
      <c r="G525" s="2" t="n">
        <v>1394</v>
      </c>
      <c r="H525" s="2" t="n">
        <v>879</v>
      </c>
      <c r="I525" s="2" t="n">
        <v>594</v>
      </c>
      <c r="J525" s="2" t="n">
        <v>514</v>
      </c>
      <c r="K525" s="2" t="n">
        <v>2349</v>
      </c>
      <c r="L525" s="2" t="n">
        <v>859</v>
      </c>
      <c r="M525" s="2" t="n">
        <v>111</v>
      </c>
      <c r="N525" s="2" t="n">
        <v>1401</v>
      </c>
      <c r="O525" s="2" t="n">
        <v>2131</v>
      </c>
      <c r="Q525" s="2" t="n">
        <f aca="false">F525+G525+H525</f>
        <v>2682</v>
      </c>
    </row>
    <row r="526" customFormat="false" ht="12.8" hidden="false" customHeight="false" outlineLevel="0" collapsed="false">
      <c r="A526" s="2" t="s">
        <v>210</v>
      </c>
      <c r="B526" s="2" t="s">
        <v>264</v>
      </c>
      <c r="C526" s="2" t="s">
        <v>217</v>
      </c>
      <c r="D526" s="2" t="n">
        <v>2351</v>
      </c>
      <c r="E526" s="2" t="n">
        <v>94</v>
      </c>
      <c r="F526" s="2" t="n">
        <v>440</v>
      </c>
      <c r="G526" s="2" t="n">
        <v>1780</v>
      </c>
      <c r="H526" s="2" t="n">
        <v>990</v>
      </c>
      <c r="I526" s="2" t="n">
        <v>868</v>
      </c>
      <c r="J526" s="2" t="n">
        <v>547</v>
      </c>
      <c r="K526" s="2" t="n">
        <v>2890</v>
      </c>
      <c r="L526" s="2" t="n">
        <v>1090</v>
      </c>
      <c r="M526" s="2" t="n">
        <v>146</v>
      </c>
      <c r="N526" s="2" t="n">
        <v>1571</v>
      </c>
      <c r="O526" s="2" t="n">
        <v>2624</v>
      </c>
      <c r="Q526" s="2" t="n">
        <f aca="false">F526+G526+H526</f>
        <v>3210</v>
      </c>
    </row>
    <row r="527" customFormat="false" ht="12.8" hidden="false" customHeight="false" outlineLevel="0" collapsed="false">
      <c r="A527" s="2" t="s">
        <v>210</v>
      </c>
      <c r="B527" s="2" t="s">
        <v>264</v>
      </c>
      <c r="C527" s="2" t="s">
        <v>218</v>
      </c>
      <c r="D527" s="2" t="n">
        <v>2361</v>
      </c>
      <c r="E527" s="2" t="n">
        <v>107</v>
      </c>
      <c r="F527" s="2" t="n">
        <v>507</v>
      </c>
      <c r="G527" s="2" t="n">
        <v>1936</v>
      </c>
      <c r="H527" s="2" t="n">
        <v>1057</v>
      </c>
      <c r="I527" s="2" t="n">
        <v>918</v>
      </c>
      <c r="J527" s="2" t="n">
        <v>616</v>
      </c>
      <c r="K527" s="2" t="n">
        <v>3296</v>
      </c>
      <c r="L527" s="2" t="n">
        <v>796</v>
      </c>
      <c r="M527" s="2" t="n">
        <v>129</v>
      </c>
      <c r="N527" s="2" t="n">
        <v>2046</v>
      </c>
      <c r="O527" s="2" t="n">
        <v>2467</v>
      </c>
      <c r="Q527" s="2" t="n">
        <f aca="false">F527+G527+H527</f>
        <v>3500</v>
      </c>
    </row>
    <row r="528" customFormat="false" ht="12.8" hidden="false" customHeight="false" outlineLevel="0" collapsed="false">
      <c r="A528" s="2" t="s">
        <v>210</v>
      </c>
      <c r="B528" s="2" t="s">
        <v>264</v>
      </c>
      <c r="C528" s="2" t="s">
        <v>219</v>
      </c>
      <c r="D528" s="2" t="n">
        <v>2314</v>
      </c>
      <c r="E528" s="2" t="n">
        <v>135</v>
      </c>
      <c r="F528" s="2" t="n">
        <v>401</v>
      </c>
      <c r="G528" s="2" t="n">
        <v>1980</v>
      </c>
      <c r="H528" s="2" t="n">
        <v>1107</v>
      </c>
      <c r="I528" s="2" t="n">
        <v>1069</v>
      </c>
      <c r="J528" s="2" t="n">
        <v>468</v>
      </c>
      <c r="K528" s="2" t="n">
        <v>3381</v>
      </c>
      <c r="L528" s="2" t="n">
        <v>715</v>
      </c>
      <c r="M528" s="2" t="n">
        <v>103</v>
      </c>
      <c r="N528" s="2" t="n">
        <v>2205</v>
      </c>
      <c r="O528" s="2" t="n">
        <v>2794</v>
      </c>
      <c r="Q528" s="2" t="n">
        <f aca="false">F528+G528+H528</f>
        <v>3488</v>
      </c>
    </row>
    <row r="529" customFormat="false" ht="12.8" hidden="false" customHeight="false" outlineLevel="0" collapsed="false">
      <c r="A529" s="2" t="s">
        <v>210</v>
      </c>
      <c r="B529" s="2" t="s">
        <v>264</v>
      </c>
      <c r="C529" s="2" t="s">
        <v>220</v>
      </c>
      <c r="D529" s="2" t="n">
        <v>2173</v>
      </c>
      <c r="E529" s="2" t="n">
        <v>154</v>
      </c>
      <c r="F529" s="2" t="n">
        <v>380</v>
      </c>
      <c r="G529" s="2" t="n">
        <v>1858</v>
      </c>
      <c r="H529" s="2" t="n">
        <v>1168</v>
      </c>
      <c r="I529" s="2" t="n">
        <v>1270</v>
      </c>
      <c r="J529" s="2" t="n">
        <v>411</v>
      </c>
      <c r="K529" s="2" t="n">
        <v>3351</v>
      </c>
      <c r="L529" s="2" t="n">
        <v>821</v>
      </c>
      <c r="M529" s="2" t="n">
        <v>87</v>
      </c>
      <c r="N529" s="2" t="n">
        <v>2142</v>
      </c>
      <c r="O529" s="2" t="n">
        <v>2720</v>
      </c>
      <c r="Q529" s="2" t="n">
        <f aca="false">F529+G529+H529</f>
        <v>3406</v>
      </c>
    </row>
    <row r="530" customFormat="false" ht="12.8" hidden="false" customHeight="false" outlineLevel="0" collapsed="false">
      <c r="A530" s="2" t="s">
        <v>210</v>
      </c>
      <c r="B530" s="2" t="s">
        <v>264</v>
      </c>
      <c r="C530" s="2" t="s">
        <v>221</v>
      </c>
      <c r="D530" s="2" t="n">
        <v>2046</v>
      </c>
      <c r="E530" s="2" t="n">
        <v>131</v>
      </c>
      <c r="F530" s="2" t="n">
        <v>397</v>
      </c>
      <c r="G530" s="2" t="n">
        <v>1883</v>
      </c>
      <c r="H530" s="2" t="n">
        <v>1072</v>
      </c>
      <c r="I530" s="2" t="n">
        <v>1113</v>
      </c>
      <c r="J530" s="2" t="n">
        <v>531</v>
      </c>
      <c r="K530" s="2" t="n">
        <v>3238</v>
      </c>
      <c r="L530" s="2" t="n">
        <v>808</v>
      </c>
      <c r="M530" s="2" t="n">
        <v>108</v>
      </c>
      <c r="N530" s="2" t="n">
        <v>2213</v>
      </c>
      <c r="O530" s="2" t="n">
        <v>2574</v>
      </c>
      <c r="Q530" s="2" t="n">
        <f aca="false">F530+G530+H530</f>
        <v>3352</v>
      </c>
    </row>
    <row r="531" customFormat="false" ht="12.8" hidden="false" customHeight="false" outlineLevel="0" collapsed="false">
      <c r="A531" s="2" t="s">
        <v>210</v>
      </c>
      <c r="B531" s="2" t="s">
        <v>264</v>
      </c>
      <c r="C531" s="2" t="s">
        <v>222</v>
      </c>
      <c r="D531" s="2" t="n">
        <v>2011</v>
      </c>
      <c r="E531" s="2" t="n">
        <v>111</v>
      </c>
      <c r="F531" s="2" t="n">
        <v>440</v>
      </c>
      <c r="G531" s="2" t="n">
        <v>1899</v>
      </c>
      <c r="H531" s="2" t="n">
        <v>1070</v>
      </c>
      <c r="I531" s="2" t="n">
        <v>950</v>
      </c>
      <c r="J531" s="2" t="n">
        <v>613</v>
      </c>
      <c r="K531" s="2" t="n">
        <v>3195</v>
      </c>
      <c r="L531" s="2" t="n">
        <v>866</v>
      </c>
      <c r="M531" s="2" t="n">
        <v>135</v>
      </c>
      <c r="N531" s="2" t="n">
        <v>2317</v>
      </c>
      <c r="O531" s="2" t="n">
        <v>2397</v>
      </c>
      <c r="Q531" s="2" t="n">
        <f aca="false">F531+G531+H531</f>
        <v>3409</v>
      </c>
    </row>
    <row r="532" customFormat="false" ht="12.8" hidden="false" customHeight="false" outlineLevel="0" collapsed="false">
      <c r="A532" s="2" t="s">
        <v>210</v>
      </c>
      <c r="B532" s="2" t="s">
        <v>264</v>
      </c>
      <c r="C532" s="2" t="s">
        <v>223</v>
      </c>
      <c r="D532" s="2" t="n">
        <v>1794</v>
      </c>
      <c r="E532" s="2" t="n">
        <v>115</v>
      </c>
      <c r="F532" s="2" t="n">
        <v>462</v>
      </c>
      <c r="G532" s="2" t="n">
        <v>1688</v>
      </c>
      <c r="H532" s="2" t="n">
        <v>1018</v>
      </c>
      <c r="I532" s="2" t="n">
        <v>1122</v>
      </c>
      <c r="J532" s="2" t="n">
        <v>591</v>
      </c>
      <c r="K532" s="2" t="n">
        <v>2989</v>
      </c>
      <c r="L532" s="2" t="n">
        <v>776</v>
      </c>
      <c r="M532" s="2" t="n">
        <v>131</v>
      </c>
      <c r="N532" s="2" t="n">
        <v>2190</v>
      </c>
      <c r="O532" s="2" t="n">
        <v>2462</v>
      </c>
      <c r="Q532" s="2" t="n">
        <f aca="false">F532+G532+H532</f>
        <v>3168</v>
      </c>
    </row>
    <row r="533" customFormat="false" ht="12.8" hidden="false" customHeight="false" outlineLevel="0" collapsed="false">
      <c r="A533" s="2" t="s">
        <v>210</v>
      </c>
      <c r="B533" s="2" t="s">
        <v>264</v>
      </c>
      <c r="C533" s="2" t="s">
        <v>224</v>
      </c>
      <c r="D533" s="2" t="n">
        <v>1898</v>
      </c>
      <c r="E533" s="2" t="n">
        <v>102</v>
      </c>
      <c r="F533" s="2" t="n">
        <v>430</v>
      </c>
      <c r="G533" s="2" t="n">
        <v>1956</v>
      </c>
      <c r="H533" s="2" t="n">
        <v>1081</v>
      </c>
      <c r="I533" s="2" t="n">
        <v>991</v>
      </c>
      <c r="J533" s="2" t="n">
        <v>571</v>
      </c>
      <c r="K533" s="2" t="n">
        <v>3361</v>
      </c>
      <c r="L533" s="2" t="n">
        <v>967</v>
      </c>
      <c r="M533" s="2" t="n">
        <v>105</v>
      </c>
      <c r="N533" s="2" t="n">
        <v>2611</v>
      </c>
      <c r="O533" s="2" t="n">
        <v>2938</v>
      </c>
      <c r="Q533" s="2" t="n">
        <f aca="false">F533+G533+H533</f>
        <v>3467</v>
      </c>
    </row>
    <row r="534" customFormat="false" ht="12.8" hidden="false" customHeight="false" outlineLevel="0" collapsed="false">
      <c r="A534" s="2" t="s">
        <v>225</v>
      </c>
      <c r="B534" s="2" t="s">
        <v>264</v>
      </c>
      <c r="C534" s="2" t="s">
        <v>212</v>
      </c>
      <c r="D534" s="2" t="n">
        <v>753</v>
      </c>
      <c r="E534" s="2" t="n">
        <v>18</v>
      </c>
      <c r="F534" s="2" t="n">
        <v>0</v>
      </c>
      <c r="G534" s="2" t="n">
        <v>589</v>
      </c>
      <c r="H534" s="2" t="n">
        <v>164</v>
      </c>
      <c r="I534" s="2" t="n">
        <v>466</v>
      </c>
      <c r="J534" s="2" t="n">
        <v>0</v>
      </c>
      <c r="K534" s="2" t="n">
        <v>836</v>
      </c>
      <c r="L534" s="2" t="n">
        <v>0</v>
      </c>
      <c r="M534" s="2" t="n">
        <v>104</v>
      </c>
      <c r="N534" s="2" t="n">
        <v>602</v>
      </c>
      <c r="O534" s="2" t="n">
        <v>1406</v>
      </c>
      <c r="Q534" s="2" t="n">
        <f aca="false">F534+G534+H534</f>
        <v>753</v>
      </c>
    </row>
    <row r="535" customFormat="false" ht="12.8" hidden="false" customHeight="false" outlineLevel="0" collapsed="false">
      <c r="A535" s="2" t="s">
        <v>225</v>
      </c>
      <c r="B535" s="2" t="s">
        <v>264</v>
      </c>
      <c r="C535" s="2" t="s">
        <v>217</v>
      </c>
      <c r="D535" s="2" t="n">
        <v>733</v>
      </c>
      <c r="E535" s="2" t="n">
        <v>16</v>
      </c>
      <c r="F535" s="2" t="n">
        <v>0</v>
      </c>
      <c r="G535" s="2" t="n">
        <v>575</v>
      </c>
      <c r="H535" s="2" t="n">
        <v>158</v>
      </c>
      <c r="I535" s="2" t="n">
        <v>354</v>
      </c>
      <c r="J535" s="2" t="n">
        <v>0</v>
      </c>
      <c r="K535" s="2" t="n">
        <v>724</v>
      </c>
      <c r="L535" s="2" t="n">
        <v>0</v>
      </c>
      <c r="M535" s="2" t="n">
        <v>138</v>
      </c>
      <c r="N535" s="2" t="n">
        <v>539</v>
      </c>
      <c r="O535" s="2" t="n">
        <v>1216</v>
      </c>
      <c r="Q535" s="2" t="n">
        <f aca="false">F535+G535+H535</f>
        <v>733</v>
      </c>
    </row>
    <row r="536" customFormat="false" ht="12.8" hidden="false" customHeight="false" outlineLevel="0" collapsed="false">
      <c r="A536" s="2" t="s">
        <v>225</v>
      </c>
      <c r="B536" s="2" t="s">
        <v>264</v>
      </c>
      <c r="C536" s="2" t="s">
        <v>218</v>
      </c>
      <c r="D536" s="2" t="n">
        <v>780</v>
      </c>
      <c r="E536" s="2" t="n">
        <v>14</v>
      </c>
      <c r="F536" s="2" t="n">
        <v>0</v>
      </c>
      <c r="G536" s="2" t="n">
        <v>606</v>
      </c>
      <c r="H536" s="2" t="n">
        <v>174</v>
      </c>
      <c r="I536" s="2" t="n">
        <v>419</v>
      </c>
      <c r="J536" s="2" t="n">
        <v>0</v>
      </c>
      <c r="K536" s="2" t="n">
        <v>841</v>
      </c>
      <c r="L536" s="2" t="n">
        <v>0</v>
      </c>
      <c r="M536" s="2" t="n">
        <v>98</v>
      </c>
      <c r="N536" s="2" t="n">
        <v>593</v>
      </c>
      <c r="O536" s="2" t="n">
        <v>1358</v>
      </c>
      <c r="Q536" s="2" t="n">
        <f aca="false">F536+G536+H536</f>
        <v>780</v>
      </c>
    </row>
    <row r="537" customFormat="false" ht="12.8" hidden="false" customHeight="false" outlineLevel="0" collapsed="false">
      <c r="A537" s="2" t="s">
        <v>225</v>
      </c>
      <c r="B537" s="2" t="s">
        <v>264</v>
      </c>
      <c r="C537" s="2" t="s">
        <v>219</v>
      </c>
      <c r="D537" s="2" t="n">
        <v>680</v>
      </c>
      <c r="E537" s="2" t="n">
        <v>16</v>
      </c>
      <c r="F537" s="2" t="n">
        <v>0</v>
      </c>
      <c r="G537" s="2" t="n">
        <v>499</v>
      </c>
      <c r="H537" s="2" t="n">
        <v>181</v>
      </c>
      <c r="I537" s="2" t="n">
        <v>376</v>
      </c>
      <c r="J537" s="2" t="n">
        <v>0</v>
      </c>
      <c r="K537" s="2" t="n">
        <v>743</v>
      </c>
      <c r="L537" s="2" t="n">
        <v>0</v>
      </c>
      <c r="M537" s="2" t="n">
        <v>91</v>
      </c>
      <c r="N537" s="2" t="n">
        <v>516</v>
      </c>
      <c r="O537" s="2" t="n">
        <v>1210</v>
      </c>
      <c r="Q537" s="2" t="n">
        <f aca="false">F537+G537+H537</f>
        <v>680</v>
      </c>
    </row>
    <row r="538" customFormat="false" ht="12.8" hidden="false" customHeight="false" outlineLevel="0" collapsed="false">
      <c r="A538" s="2" t="s">
        <v>225</v>
      </c>
      <c r="B538" s="2" t="s">
        <v>264</v>
      </c>
      <c r="C538" s="2" t="s">
        <v>220</v>
      </c>
      <c r="D538" s="2" t="n">
        <v>705</v>
      </c>
      <c r="E538" s="2" t="n">
        <v>20</v>
      </c>
      <c r="F538" s="2" t="n">
        <v>0</v>
      </c>
      <c r="G538" s="2" t="n">
        <v>572</v>
      </c>
      <c r="H538" s="2" t="n">
        <v>133</v>
      </c>
      <c r="I538" s="2" t="n">
        <v>378</v>
      </c>
      <c r="J538" s="2" t="n">
        <v>0</v>
      </c>
      <c r="K538" s="2" t="n">
        <v>689</v>
      </c>
      <c r="L538" s="2" t="n">
        <v>0</v>
      </c>
      <c r="M538" s="2" t="n">
        <v>82</v>
      </c>
      <c r="N538" s="2" t="n">
        <v>568</v>
      </c>
      <c r="O538" s="2" t="n">
        <v>1149</v>
      </c>
      <c r="Q538" s="2" t="n">
        <f aca="false">F538+G538+H538</f>
        <v>705</v>
      </c>
    </row>
    <row r="539" customFormat="false" ht="12.8" hidden="false" customHeight="false" outlineLevel="0" collapsed="false">
      <c r="A539" s="2" t="s">
        <v>225</v>
      </c>
      <c r="B539" s="2" t="s">
        <v>264</v>
      </c>
      <c r="C539" s="2" t="s">
        <v>221</v>
      </c>
      <c r="D539" s="2" t="n">
        <v>913</v>
      </c>
      <c r="E539" s="2" t="n">
        <v>22</v>
      </c>
      <c r="F539" s="2" t="n">
        <v>0</v>
      </c>
      <c r="G539" s="2" t="n">
        <v>733</v>
      </c>
      <c r="H539" s="2" t="n">
        <v>180</v>
      </c>
      <c r="I539" s="2" t="n">
        <v>433</v>
      </c>
      <c r="J539" s="2" t="n">
        <v>0</v>
      </c>
      <c r="K539" s="2" t="n">
        <v>873</v>
      </c>
      <c r="L539" s="2" t="n">
        <v>0</v>
      </c>
      <c r="M539" s="2" t="n">
        <v>136</v>
      </c>
      <c r="N539" s="2" t="n">
        <v>652</v>
      </c>
      <c r="O539" s="2" t="n">
        <v>1442</v>
      </c>
      <c r="Q539" s="2" t="n">
        <f aca="false">F539+G539+H539</f>
        <v>913</v>
      </c>
    </row>
    <row r="540" customFormat="false" ht="12.8" hidden="false" customHeight="false" outlineLevel="0" collapsed="false">
      <c r="A540" s="2" t="s">
        <v>225</v>
      </c>
      <c r="B540" s="2" t="s">
        <v>264</v>
      </c>
      <c r="C540" s="2" t="s">
        <v>222</v>
      </c>
      <c r="D540" s="2" t="n">
        <v>748</v>
      </c>
      <c r="E540" s="2" t="n">
        <v>11</v>
      </c>
      <c r="F540" s="2" t="n">
        <v>0</v>
      </c>
      <c r="G540" s="2" t="n">
        <v>605</v>
      </c>
      <c r="H540" s="2" t="n">
        <v>143</v>
      </c>
      <c r="I540" s="2" t="n">
        <v>300</v>
      </c>
      <c r="J540" s="2" t="n">
        <v>0</v>
      </c>
      <c r="K540" s="2" t="n">
        <v>683</v>
      </c>
      <c r="L540" s="2" t="n">
        <v>0</v>
      </c>
      <c r="M540" s="2" t="n">
        <v>147</v>
      </c>
      <c r="N540" s="2" t="n">
        <v>535</v>
      </c>
      <c r="O540" s="2" t="n">
        <v>1130</v>
      </c>
      <c r="Q540" s="2" t="n">
        <f aca="false">F540+G540+H540</f>
        <v>748</v>
      </c>
    </row>
    <row r="541" customFormat="false" ht="12.8" hidden="false" customHeight="false" outlineLevel="0" collapsed="false">
      <c r="A541" s="2" t="s">
        <v>225</v>
      </c>
      <c r="B541" s="2" t="s">
        <v>264</v>
      </c>
      <c r="C541" s="2" t="s">
        <v>223</v>
      </c>
      <c r="D541" s="2" t="n">
        <v>587</v>
      </c>
      <c r="E541" s="2" t="n">
        <v>14</v>
      </c>
      <c r="F541" s="2" t="n">
        <v>0</v>
      </c>
      <c r="G541" s="2" t="n">
        <v>490</v>
      </c>
      <c r="H541" s="2" t="n">
        <v>97</v>
      </c>
      <c r="I541" s="2" t="n">
        <v>227</v>
      </c>
      <c r="J541" s="2" t="n">
        <v>0</v>
      </c>
      <c r="K541" s="2" t="n">
        <v>547</v>
      </c>
      <c r="L541" s="2" t="n">
        <v>0</v>
      </c>
      <c r="M541" s="2" t="n">
        <v>122</v>
      </c>
      <c r="N541" s="2" t="n">
        <v>447</v>
      </c>
      <c r="O541" s="2" t="n">
        <v>896</v>
      </c>
      <c r="Q541" s="2" t="n">
        <f aca="false">F541+G541+H541</f>
        <v>587</v>
      </c>
    </row>
    <row r="542" customFormat="false" ht="12.8" hidden="false" customHeight="false" outlineLevel="0" collapsed="false">
      <c r="A542" s="2" t="s">
        <v>225</v>
      </c>
      <c r="B542" s="2" t="s">
        <v>264</v>
      </c>
      <c r="C542" s="2" t="s">
        <v>224</v>
      </c>
      <c r="D542" s="2" t="n">
        <v>626</v>
      </c>
      <c r="E542" s="2" t="n">
        <v>22</v>
      </c>
      <c r="F542" s="2" t="n">
        <v>0</v>
      </c>
      <c r="G542" s="2" t="n">
        <v>514</v>
      </c>
      <c r="H542" s="2" t="n">
        <v>112</v>
      </c>
      <c r="I542" s="2" t="n">
        <v>264</v>
      </c>
      <c r="J542" s="2" t="n">
        <v>0</v>
      </c>
      <c r="K542" s="2" t="n">
        <v>560</v>
      </c>
      <c r="L542" s="2" t="n">
        <v>0</v>
      </c>
      <c r="M542" s="2" t="n">
        <v>144</v>
      </c>
      <c r="N542" s="2" t="n">
        <v>467</v>
      </c>
      <c r="O542" s="2" t="n">
        <v>968</v>
      </c>
      <c r="Q542" s="2" t="n">
        <f aca="false">F542+G542+H542</f>
        <v>626</v>
      </c>
    </row>
    <row r="543" customFormat="false" ht="12.8" hidden="false" customHeight="false" outlineLevel="0" collapsed="false">
      <c r="A543" s="2" t="s">
        <v>226</v>
      </c>
      <c r="B543" s="2" t="s">
        <v>264</v>
      </c>
      <c r="C543" s="2" t="s">
        <v>212</v>
      </c>
      <c r="D543" s="2" t="n">
        <v>2828</v>
      </c>
      <c r="E543" s="2" t="n">
        <v>158</v>
      </c>
      <c r="F543" s="2" t="n">
        <v>390</v>
      </c>
      <c r="G543" s="2" t="n">
        <v>1055</v>
      </c>
      <c r="H543" s="2" t="n">
        <v>2044</v>
      </c>
      <c r="I543" s="2" t="n">
        <v>1252</v>
      </c>
      <c r="J543" s="2" t="n">
        <v>675</v>
      </c>
      <c r="K543" s="2" t="n">
        <v>2999</v>
      </c>
      <c r="L543" s="2" t="n">
        <v>266</v>
      </c>
      <c r="M543" s="2" t="n">
        <v>86</v>
      </c>
      <c r="N543" s="2" t="n">
        <v>1708</v>
      </c>
      <c r="O543" s="2" t="n">
        <v>2051</v>
      </c>
      <c r="Q543" s="2" t="n">
        <f aca="false">F543+G543+H543</f>
        <v>3489</v>
      </c>
    </row>
    <row r="544" customFormat="false" ht="12.8" hidden="false" customHeight="false" outlineLevel="0" collapsed="false">
      <c r="A544" s="2" t="s">
        <v>226</v>
      </c>
      <c r="B544" s="2" t="s">
        <v>264</v>
      </c>
      <c r="C544" s="2" t="s">
        <v>217</v>
      </c>
      <c r="D544" s="2" t="n">
        <v>2994</v>
      </c>
      <c r="E544" s="2" t="n">
        <v>172</v>
      </c>
      <c r="F544" s="2" t="n">
        <v>508</v>
      </c>
      <c r="G544" s="2" t="n">
        <v>1165</v>
      </c>
      <c r="H544" s="2" t="n">
        <v>2583</v>
      </c>
      <c r="I544" s="2" t="n">
        <v>1623</v>
      </c>
      <c r="J544" s="2" t="n">
        <v>687</v>
      </c>
      <c r="K544" s="2" t="n">
        <v>3653</v>
      </c>
      <c r="L544" s="2" t="n">
        <v>599</v>
      </c>
      <c r="M544" s="2" t="n">
        <v>143</v>
      </c>
      <c r="N544" s="2" t="n">
        <v>2075</v>
      </c>
      <c r="O544" s="2" t="n">
        <v>2494</v>
      </c>
      <c r="Q544" s="2" t="n">
        <f aca="false">F544+G544+H544</f>
        <v>4256</v>
      </c>
    </row>
    <row r="545" customFormat="false" ht="12.8" hidden="false" customHeight="false" outlineLevel="0" collapsed="false">
      <c r="A545" s="2" t="s">
        <v>226</v>
      </c>
      <c r="B545" s="2" t="s">
        <v>264</v>
      </c>
      <c r="C545" s="2" t="s">
        <v>218</v>
      </c>
      <c r="D545" s="2" t="n">
        <v>2906</v>
      </c>
      <c r="E545" s="2" t="n">
        <v>191</v>
      </c>
      <c r="F545" s="2" t="n">
        <v>511</v>
      </c>
      <c r="G545" s="2" t="n">
        <v>1181</v>
      </c>
      <c r="H545" s="2" t="n">
        <v>2619</v>
      </c>
      <c r="I545" s="2" t="n">
        <v>1836</v>
      </c>
      <c r="J545" s="2" t="n">
        <v>552</v>
      </c>
      <c r="K545" s="2" t="n">
        <v>3670</v>
      </c>
      <c r="L545" s="2" t="n">
        <v>427</v>
      </c>
      <c r="M545" s="2" t="n">
        <v>157</v>
      </c>
      <c r="N545" s="2" t="n">
        <v>1976</v>
      </c>
      <c r="O545" s="2" t="n">
        <v>2242</v>
      </c>
      <c r="Q545" s="2" t="n">
        <f aca="false">F545+G545+H545</f>
        <v>4311</v>
      </c>
    </row>
    <row r="546" customFormat="false" ht="12.8" hidden="false" customHeight="false" outlineLevel="0" collapsed="false">
      <c r="A546" s="2" t="s">
        <v>226</v>
      </c>
      <c r="B546" s="2" t="s">
        <v>264</v>
      </c>
      <c r="C546" s="2" t="s">
        <v>219</v>
      </c>
      <c r="D546" s="2" t="n">
        <v>2517</v>
      </c>
      <c r="E546" s="2" t="n">
        <v>185</v>
      </c>
      <c r="F546" s="2" t="n">
        <v>604</v>
      </c>
      <c r="G546" s="2" t="n">
        <v>1155</v>
      </c>
      <c r="H546" s="2" t="n">
        <v>2360</v>
      </c>
      <c r="I546" s="2" t="n">
        <v>1478</v>
      </c>
      <c r="J546" s="2" t="n">
        <v>477</v>
      </c>
      <c r="K546" s="2" t="n">
        <v>3239</v>
      </c>
      <c r="L546" s="2" t="n">
        <v>539</v>
      </c>
      <c r="M546" s="2" t="n">
        <v>178</v>
      </c>
      <c r="N546" s="2" t="n">
        <v>2221</v>
      </c>
      <c r="O546" s="2" t="n">
        <v>2033</v>
      </c>
      <c r="Q546" s="2" t="n">
        <f aca="false">F546+G546+H546</f>
        <v>4119</v>
      </c>
    </row>
    <row r="547" customFormat="false" ht="12.8" hidden="false" customHeight="false" outlineLevel="0" collapsed="false">
      <c r="A547" s="2" t="s">
        <v>226</v>
      </c>
      <c r="B547" s="2" t="s">
        <v>264</v>
      </c>
      <c r="C547" s="2" t="s">
        <v>220</v>
      </c>
      <c r="D547" s="2" t="n">
        <v>2242</v>
      </c>
      <c r="E547" s="2" t="n">
        <v>172</v>
      </c>
      <c r="F547" s="2" t="n">
        <v>633</v>
      </c>
      <c r="G547" s="2" t="n">
        <v>1161</v>
      </c>
      <c r="H547" s="2" t="n">
        <v>1976</v>
      </c>
      <c r="I547" s="2" t="n">
        <v>1385</v>
      </c>
      <c r="J547" s="2" t="n">
        <v>421</v>
      </c>
      <c r="K547" s="2" t="n">
        <v>2931</v>
      </c>
      <c r="L547" s="2" t="n">
        <v>554</v>
      </c>
      <c r="M547" s="2" t="n">
        <v>199</v>
      </c>
      <c r="N547" s="2" t="n">
        <v>1852</v>
      </c>
      <c r="O547" s="2" t="n">
        <v>1770</v>
      </c>
      <c r="Q547" s="2" t="n">
        <f aca="false">F547+G547+H547</f>
        <v>3770</v>
      </c>
    </row>
    <row r="548" customFormat="false" ht="12.8" hidden="false" customHeight="false" outlineLevel="0" collapsed="false">
      <c r="A548" s="2" t="s">
        <v>226</v>
      </c>
      <c r="B548" s="2" t="s">
        <v>264</v>
      </c>
      <c r="C548" s="2" t="s">
        <v>221</v>
      </c>
      <c r="D548" s="2" t="n">
        <v>2253</v>
      </c>
      <c r="E548" s="2" t="n">
        <v>182</v>
      </c>
      <c r="F548" s="2" t="n">
        <v>665</v>
      </c>
      <c r="G548" s="2" t="n">
        <v>997</v>
      </c>
      <c r="H548" s="2" t="n">
        <v>2163</v>
      </c>
      <c r="I548" s="2" t="n">
        <v>1493</v>
      </c>
      <c r="J548" s="2" t="n">
        <v>351</v>
      </c>
      <c r="K548" s="2" t="n">
        <v>3038</v>
      </c>
      <c r="L548" s="2" t="n">
        <v>675</v>
      </c>
      <c r="M548" s="2" t="n">
        <v>205</v>
      </c>
      <c r="N548" s="2" t="n">
        <v>1833</v>
      </c>
      <c r="O548" s="2" t="n">
        <v>2055</v>
      </c>
      <c r="Q548" s="2" t="n">
        <f aca="false">F548+G548+H548</f>
        <v>3825</v>
      </c>
    </row>
    <row r="549" customFormat="false" ht="12.8" hidden="false" customHeight="false" outlineLevel="0" collapsed="false">
      <c r="A549" s="2" t="s">
        <v>226</v>
      </c>
      <c r="B549" s="2" t="s">
        <v>264</v>
      </c>
      <c r="C549" s="2" t="s">
        <v>222</v>
      </c>
      <c r="D549" s="2" t="n">
        <v>2161</v>
      </c>
      <c r="E549" s="2" t="n">
        <v>189</v>
      </c>
      <c r="F549" s="2" t="n">
        <v>567</v>
      </c>
      <c r="G549" s="2" t="n">
        <v>1034</v>
      </c>
      <c r="H549" s="2" t="n">
        <v>1958</v>
      </c>
      <c r="I549" s="2" t="n">
        <v>1380</v>
      </c>
      <c r="J549" s="2" t="n">
        <v>410</v>
      </c>
      <c r="K549" s="2" t="n">
        <v>2959</v>
      </c>
      <c r="L549" s="2" t="n">
        <v>716</v>
      </c>
      <c r="M549" s="2" t="n">
        <v>151</v>
      </c>
      <c r="N549" s="2" t="n">
        <v>1713</v>
      </c>
      <c r="O549" s="2" t="n">
        <v>1678</v>
      </c>
      <c r="Q549" s="2" t="n">
        <f aca="false">F549+G549+H549</f>
        <v>3559</v>
      </c>
    </row>
    <row r="550" customFormat="false" ht="12.8" hidden="false" customHeight="false" outlineLevel="0" collapsed="false">
      <c r="A550" s="2" t="s">
        <v>226</v>
      </c>
      <c r="B550" s="2" t="s">
        <v>264</v>
      </c>
      <c r="C550" s="2" t="s">
        <v>223</v>
      </c>
      <c r="D550" s="2" t="n">
        <v>1970</v>
      </c>
      <c r="E550" s="2" t="n">
        <v>174</v>
      </c>
      <c r="F550" s="2" t="n">
        <v>655</v>
      </c>
      <c r="G550" s="2" t="n">
        <v>1016</v>
      </c>
      <c r="H550" s="2" t="n">
        <v>1882</v>
      </c>
      <c r="I550" s="2" t="n">
        <v>1665</v>
      </c>
      <c r="J550" s="2" t="n">
        <v>300</v>
      </c>
      <c r="K550" s="2" t="n">
        <v>2838</v>
      </c>
      <c r="L550" s="2" t="n">
        <v>510</v>
      </c>
      <c r="M550" s="2" t="n">
        <v>252</v>
      </c>
      <c r="N550" s="2" t="n">
        <v>1581</v>
      </c>
      <c r="O550" s="2" t="n">
        <v>1891</v>
      </c>
      <c r="Q550" s="2" t="n">
        <f aca="false">F550+G550+H550</f>
        <v>3553</v>
      </c>
    </row>
    <row r="551" customFormat="false" ht="12.8" hidden="false" customHeight="false" outlineLevel="0" collapsed="false">
      <c r="A551" s="2" t="s">
        <v>226</v>
      </c>
      <c r="B551" s="2" t="s">
        <v>264</v>
      </c>
      <c r="C551" s="2" t="s">
        <v>224</v>
      </c>
      <c r="D551" s="2" t="n">
        <v>1856</v>
      </c>
      <c r="E551" s="2" t="n">
        <v>159</v>
      </c>
      <c r="F551" s="2" t="n">
        <v>619</v>
      </c>
      <c r="G551" s="2" t="n">
        <v>992</v>
      </c>
      <c r="H551" s="2" t="n">
        <v>1758</v>
      </c>
      <c r="I551" s="2" t="n">
        <v>1491</v>
      </c>
      <c r="J551" s="2" t="n">
        <v>332</v>
      </c>
      <c r="K551" s="2" t="n">
        <v>2700</v>
      </c>
      <c r="L551" s="2" t="n">
        <v>563</v>
      </c>
      <c r="M551" s="2" t="n">
        <v>209</v>
      </c>
      <c r="N551" s="2" t="n">
        <v>1585</v>
      </c>
      <c r="O551" s="2" t="n">
        <v>1871</v>
      </c>
      <c r="Q551" s="2" t="n">
        <f aca="false">F551+G551+H551</f>
        <v>3369</v>
      </c>
    </row>
    <row r="552" customFormat="false" ht="12.8" hidden="false" customHeight="false" outlineLevel="0" collapsed="false">
      <c r="A552" s="2" t="s">
        <v>227</v>
      </c>
      <c r="B552" s="2" t="s">
        <v>264</v>
      </c>
      <c r="C552" s="2" t="s">
        <v>212</v>
      </c>
      <c r="D552" s="2" t="n">
        <v>446</v>
      </c>
      <c r="E552" s="2" t="n">
        <v>13</v>
      </c>
      <c r="F552" s="2" t="n">
        <v>0</v>
      </c>
      <c r="G552" s="2" t="n">
        <v>310</v>
      </c>
      <c r="H552" s="2" t="n">
        <v>229</v>
      </c>
      <c r="I552" s="2" t="n">
        <v>105</v>
      </c>
      <c r="J552" s="2" t="n">
        <v>183</v>
      </c>
      <c r="K552" s="2" t="n">
        <v>456</v>
      </c>
      <c r="L552" s="2" t="n">
        <v>229</v>
      </c>
      <c r="M552" s="2" t="n">
        <v>0</v>
      </c>
      <c r="N552" s="2" t="n">
        <v>157</v>
      </c>
      <c r="O552" s="2" t="n">
        <v>816</v>
      </c>
      <c r="Q552" s="2" t="n">
        <f aca="false">F552+G552+H552</f>
        <v>539</v>
      </c>
    </row>
    <row r="553" customFormat="false" ht="12.8" hidden="false" customHeight="false" outlineLevel="0" collapsed="false">
      <c r="A553" s="2" t="s">
        <v>227</v>
      </c>
      <c r="B553" s="2" t="s">
        <v>264</v>
      </c>
      <c r="C553" s="2" t="s">
        <v>217</v>
      </c>
      <c r="D553" s="2" t="n">
        <v>659</v>
      </c>
      <c r="E553" s="2" t="n">
        <v>21</v>
      </c>
      <c r="F553" s="2" t="n">
        <v>0</v>
      </c>
      <c r="G553" s="2" t="n">
        <v>491</v>
      </c>
      <c r="H553" s="2" t="n">
        <v>298</v>
      </c>
      <c r="I553" s="2" t="n">
        <v>300</v>
      </c>
      <c r="J553" s="2" t="n">
        <v>193</v>
      </c>
      <c r="K553" s="2" t="n">
        <v>744</v>
      </c>
      <c r="L553" s="2" t="n">
        <v>249</v>
      </c>
      <c r="M553" s="2" t="n">
        <v>0</v>
      </c>
      <c r="N553" s="2" t="n">
        <v>185</v>
      </c>
      <c r="O553" s="2" t="n">
        <v>1282</v>
      </c>
      <c r="Q553" s="2" t="n">
        <f aca="false">F553+G553+H553</f>
        <v>789</v>
      </c>
    </row>
    <row r="554" customFormat="false" ht="12.8" hidden="false" customHeight="false" outlineLevel="0" collapsed="false">
      <c r="A554" s="2" t="s">
        <v>227</v>
      </c>
      <c r="B554" s="2" t="s">
        <v>264</v>
      </c>
      <c r="C554" s="2" t="s">
        <v>218</v>
      </c>
      <c r="D554" s="2" t="n">
        <v>616</v>
      </c>
      <c r="E554" s="2" t="n">
        <v>21</v>
      </c>
      <c r="F554" s="2" t="n">
        <v>0</v>
      </c>
      <c r="G554" s="2" t="n">
        <v>521</v>
      </c>
      <c r="H554" s="2" t="n">
        <v>289</v>
      </c>
      <c r="I554" s="2" t="n">
        <v>309</v>
      </c>
      <c r="J554" s="2" t="n">
        <v>243</v>
      </c>
      <c r="K554" s="2" t="n">
        <v>711</v>
      </c>
      <c r="L554" s="2" t="n">
        <v>277</v>
      </c>
      <c r="M554" s="2" t="n">
        <v>0</v>
      </c>
      <c r="N554" s="2" t="n">
        <v>217</v>
      </c>
      <c r="O554" s="2" t="n">
        <v>1300</v>
      </c>
      <c r="Q554" s="2" t="n">
        <f aca="false">F554+G554+H554</f>
        <v>810</v>
      </c>
    </row>
    <row r="555" customFormat="false" ht="12.8" hidden="false" customHeight="false" outlineLevel="0" collapsed="false">
      <c r="A555" s="2" t="s">
        <v>227</v>
      </c>
      <c r="B555" s="2" t="s">
        <v>264</v>
      </c>
      <c r="C555" s="2" t="s">
        <v>219</v>
      </c>
      <c r="D555" s="2" t="n">
        <v>654</v>
      </c>
      <c r="E555" s="2" t="n">
        <v>27</v>
      </c>
      <c r="F555" s="2" t="n">
        <v>0</v>
      </c>
      <c r="G555" s="2" t="n">
        <v>560</v>
      </c>
      <c r="H555" s="2" t="n">
        <v>301</v>
      </c>
      <c r="I555" s="2" t="n">
        <v>381</v>
      </c>
      <c r="J555" s="2" t="n">
        <v>218</v>
      </c>
      <c r="K555" s="2" t="n">
        <v>744</v>
      </c>
      <c r="L555" s="2" t="n">
        <v>307</v>
      </c>
      <c r="M555" s="2" t="n">
        <v>0</v>
      </c>
      <c r="N555" s="2" t="n">
        <v>287</v>
      </c>
      <c r="O555" s="2" t="n">
        <v>1465</v>
      </c>
      <c r="Q555" s="2" t="n">
        <f aca="false">F555+G555+H555</f>
        <v>861</v>
      </c>
    </row>
    <row r="556" customFormat="false" ht="12.8" hidden="false" customHeight="false" outlineLevel="0" collapsed="false">
      <c r="A556" s="2" t="s">
        <v>227</v>
      </c>
      <c r="B556" s="2" t="s">
        <v>264</v>
      </c>
      <c r="C556" s="2" t="s">
        <v>220</v>
      </c>
      <c r="D556" s="2" t="n">
        <v>587</v>
      </c>
      <c r="E556" s="2" t="n">
        <v>21</v>
      </c>
      <c r="F556" s="2" t="n">
        <v>0</v>
      </c>
      <c r="G556" s="2" t="n">
        <v>512</v>
      </c>
      <c r="H556" s="2" t="n">
        <v>277</v>
      </c>
      <c r="I556" s="2" t="n">
        <v>339</v>
      </c>
      <c r="J556" s="2" t="n">
        <v>169</v>
      </c>
      <c r="K556" s="2" t="n">
        <v>700</v>
      </c>
      <c r="L556" s="2" t="n">
        <v>354</v>
      </c>
      <c r="M556" s="2" t="n">
        <v>0</v>
      </c>
      <c r="N556" s="2" t="n">
        <v>294</v>
      </c>
      <c r="O556" s="2" t="n">
        <v>1342</v>
      </c>
      <c r="Q556" s="2" t="n">
        <f aca="false">F556+G556+H556</f>
        <v>789</v>
      </c>
    </row>
    <row r="557" customFormat="false" ht="12.8" hidden="false" customHeight="false" outlineLevel="0" collapsed="false">
      <c r="A557" s="2" t="s">
        <v>227</v>
      </c>
      <c r="B557" s="2" t="s">
        <v>264</v>
      </c>
      <c r="C557" s="2" t="s">
        <v>221</v>
      </c>
      <c r="D557" s="2" t="n">
        <v>657</v>
      </c>
      <c r="E557" s="2" t="n">
        <v>32</v>
      </c>
      <c r="F557" s="2" t="n">
        <v>0</v>
      </c>
      <c r="G557" s="2" t="n">
        <v>626</v>
      </c>
      <c r="H557" s="2" t="n">
        <v>318</v>
      </c>
      <c r="I557" s="2" t="n">
        <v>348</v>
      </c>
      <c r="J557" s="2" t="n">
        <v>240</v>
      </c>
      <c r="K557" s="2" t="n">
        <v>816</v>
      </c>
      <c r="L557" s="2" t="n">
        <v>345</v>
      </c>
      <c r="M557" s="2" t="n">
        <v>0</v>
      </c>
      <c r="N557" s="2" t="n">
        <v>287</v>
      </c>
      <c r="O557" s="2" t="n">
        <v>1416</v>
      </c>
      <c r="Q557" s="2" t="n">
        <f aca="false">F557+G557+H557</f>
        <v>944</v>
      </c>
    </row>
    <row r="558" customFormat="false" ht="12.8" hidden="false" customHeight="false" outlineLevel="0" collapsed="false">
      <c r="A558" s="2" t="s">
        <v>227</v>
      </c>
      <c r="B558" s="2" t="s">
        <v>264</v>
      </c>
      <c r="C558" s="2" t="s">
        <v>222</v>
      </c>
      <c r="D558" s="2" t="n">
        <v>1113</v>
      </c>
      <c r="E558" s="2" t="n">
        <v>14</v>
      </c>
      <c r="F558" s="2" t="n">
        <v>0</v>
      </c>
      <c r="G558" s="2" t="n">
        <v>975</v>
      </c>
      <c r="H558" s="2" t="n">
        <v>369</v>
      </c>
      <c r="I558" s="2" t="n">
        <v>611</v>
      </c>
      <c r="J558" s="2" t="n">
        <v>176</v>
      </c>
      <c r="K558" s="2" t="n">
        <v>1202</v>
      </c>
      <c r="L558" s="2" t="n">
        <v>322</v>
      </c>
      <c r="M558" s="2" t="n">
        <v>0</v>
      </c>
      <c r="N558" s="2" t="n">
        <v>305</v>
      </c>
      <c r="O558" s="2" t="n">
        <v>1501</v>
      </c>
      <c r="Q558" s="2" t="n">
        <f aca="false">F558+G558+H558</f>
        <v>1344</v>
      </c>
    </row>
    <row r="559" customFormat="false" ht="12.8" hidden="false" customHeight="false" outlineLevel="0" collapsed="false">
      <c r="A559" s="2" t="s">
        <v>227</v>
      </c>
      <c r="B559" s="2" t="s">
        <v>264</v>
      </c>
      <c r="C559" s="2" t="s">
        <v>223</v>
      </c>
      <c r="D559" s="2" t="n">
        <v>1153</v>
      </c>
      <c r="E559" s="2" t="n">
        <v>38</v>
      </c>
      <c r="F559" s="2" t="n">
        <v>0</v>
      </c>
      <c r="G559" s="2" t="n">
        <v>960</v>
      </c>
      <c r="H559" s="2" t="n">
        <v>388</v>
      </c>
      <c r="I559" s="2" t="n">
        <v>596</v>
      </c>
      <c r="J559" s="2" t="n">
        <v>217</v>
      </c>
      <c r="K559" s="2" t="n">
        <v>1228</v>
      </c>
      <c r="L559" s="2" t="n">
        <v>363</v>
      </c>
      <c r="M559" s="2" t="n">
        <v>0</v>
      </c>
      <c r="N559" s="2" t="n">
        <v>274</v>
      </c>
      <c r="O559" s="2" t="n">
        <v>1492</v>
      </c>
      <c r="Q559" s="2" t="n">
        <f aca="false">F559+G559+H559</f>
        <v>1348</v>
      </c>
    </row>
    <row r="560" customFormat="false" ht="12.8" hidden="false" customHeight="false" outlineLevel="0" collapsed="false">
      <c r="A560" s="2" t="s">
        <v>227</v>
      </c>
      <c r="B560" s="2" t="s">
        <v>264</v>
      </c>
      <c r="C560" s="2" t="s">
        <v>224</v>
      </c>
      <c r="D560" s="2" t="n">
        <v>945</v>
      </c>
      <c r="E560" s="2" t="n">
        <v>30</v>
      </c>
      <c r="F560" s="2" t="n">
        <v>0</v>
      </c>
      <c r="G560" s="2" t="n">
        <v>991</v>
      </c>
      <c r="H560" s="2" t="n">
        <v>423</v>
      </c>
      <c r="I560" s="2" t="n">
        <v>569</v>
      </c>
      <c r="J560" s="2" t="n">
        <v>280</v>
      </c>
      <c r="K560" s="2" t="n">
        <v>1289</v>
      </c>
      <c r="L560" s="2" t="n">
        <v>365</v>
      </c>
      <c r="M560" s="2" t="n">
        <v>0</v>
      </c>
      <c r="N560" s="2" t="n">
        <v>342</v>
      </c>
      <c r="O560" s="2" t="n">
        <v>1562</v>
      </c>
      <c r="Q560" s="2" t="n">
        <f aca="false">F560+G560+H560</f>
        <v>1414</v>
      </c>
    </row>
    <row r="561" customFormat="false" ht="12.8" hidden="false" customHeight="false" outlineLevel="0" collapsed="false">
      <c r="A561" s="2" t="s">
        <v>228</v>
      </c>
      <c r="B561" s="2" t="s">
        <v>264</v>
      </c>
      <c r="C561" s="2" t="s">
        <v>212</v>
      </c>
      <c r="D561" s="2" t="n">
        <v>2849</v>
      </c>
      <c r="E561" s="2" t="n">
        <v>58</v>
      </c>
      <c r="F561" s="2" t="n">
        <v>473</v>
      </c>
      <c r="G561" s="2" t="n">
        <v>1695</v>
      </c>
      <c r="H561" s="2" t="n">
        <v>1233</v>
      </c>
      <c r="I561" s="2" t="n">
        <v>1404</v>
      </c>
      <c r="J561" s="2" t="n">
        <v>375</v>
      </c>
      <c r="K561" s="2" t="n">
        <v>3100</v>
      </c>
      <c r="L561" s="2" t="n">
        <v>972</v>
      </c>
      <c r="M561" s="2" t="n">
        <v>156</v>
      </c>
      <c r="N561" s="2" t="n">
        <v>2129</v>
      </c>
      <c r="O561" s="2" t="n">
        <v>2302</v>
      </c>
      <c r="Q561" s="2" t="n">
        <f aca="false">F561+G561+H561</f>
        <v>3401</v>
      </c>
    </row>
    <row r="562" customFormat="false" ht="12.8" hidden="false" customHeight="false" outlineLevel="0" collapsed="false">
      <c r="A562" s="2" t="s">
        <v>228</v>
      </c>
      <c r="B562" s="2" t="s">
        <v>264</v>
      </c>
      <c r="C562" s="2" t="s">
        <v>217</v>
      </c>
      <c r="D562" s="2" t="n">
        <v>2878</v>
      </c>
      <c r="E562" s="2" t="n">
        <v>73</v>
      </c>
      <c r="F562" s="2" t="n">
        <v>524</v>
      </c>
      <c r="G562" s="2" t="n">
        <v>2116</v>
      </c>
      <c r="H562" s="2" t="n">
        <v>1367</v>
      </c>
      <c r="I562" s="2" t="n">
        <v>1615</v>
      </c>
      <c r="J562" s="2" t="n">
        <v>526</v>
      </c>
      <c r="K562" s="2" t="n">
        <v>3534</v>
      </c>
      <c r="L562" s="2" t="n">
        <v>1307</v>
      </c>
      <c r="M562" s="2" t="n">
        <v>191</v>
      </c>
      <c r="N562" s="2" t="n">
        <v>2569</v>
      </c>
      <c r="O562" s="2" t="n">
        <v>2503</v>
      </c>
      <c r="Q562" s="2" t="n">
        <f aca="false">F562+G562+H562</f>
        <v>4007</v>
      </c>
    </row>
    <row r="563" customFormat="false" ht="12.8" hidden="false" customHeight="false" outlineLevel="0" collapsed="false">
      <c r="A563" s="2" t="s">
        <v>228</v>
      </c>
      <c r="B563" s="2" t="s">
        <v>264</v>
      </c>
      <c r="C563" s="2" t="s">
        <v>218</v>
      </c>
      <c r="D563" s="2" t="n">
        <v>2738</v>
      </c>
      <c r="E563" s="2" t="n">
        <v>91</v>
      </c>
      <c r="F563" s="2" t="n">
        <v>657</v>
      </c>
      <c r="G563" s="2" t="n">
        <v>2059</v>
      </c>
      <c r="H563" s="2" t="n">
        <v>1332</v>
      </c>
      <c r="I563" s="2" t="n">
        <v>1531</v>
      </c>
      <c r="J563" s="2" t="n">
        <v>585</v>
      </c>
      <c r="K563" s="2" t="n">
        <v>3565</v>
      </c>
      <c r="L563" s="2" t="n">
        <v>1126</v>
      </c>
      <c r="M563" s="2" t="n">
        <v>240</v>
      </c>
      <c r="N563" s="2" t="n">
        <v>2603</v>
      </c>
      <c r="O563" s="2" t="n">
        <v>2295</v>
      </c>
      <c r="Q563" s="2" t="n">
        <f aca="false">F563+G563+H563</f>
        <v>4048</v>
      </c>
    </row>
    <row r="564" customFormat="false" ht="12.8" hidden="false" customHeight="false" outlineLevel="0" collapsed="false">
      <c r="A564" s="2" t="s">
        <v>228</v>
      </c>
      <c r="B564" s="2" t="s">
        <v>264</v>
      </c>
      <c r="C564" s="2" t="s">
        <v>219</v>
      </c>
      <c r="D564" s="2" t="n">
        <v>2331</v>
      </c>
      <c r="E564" s="2" t="n">
        <v>91</v>
      </c>
      <c r="F564" s="2" t="n">
        <v>589</v>
      </c>
      <c r="G564" s="2" t="n">
        <v>1917</v>
      </c>
      <c r="H564" s="2" t="n">
        <v>1127</v>
      </c>
      <c r="I564" s="2" t="n">
        <v>1309</v>
      </c>
      <c r="J564" s="2" t="n">
        <v>564</v>
      </c>
      <c r="K564" s="2" t="n">
        <v>3081</v>
      </c>
      <c r="L564" s="2" t="n">
        <v>1074</v>
      </c>
      <c r="M564" s="2" t="n">
        <v>214</v>
      </c>
      <c r="N564" s="2" t="n">
        <v>2246</v>
      </c>
      <c r="O564" s="2" t="n">
        <v>2179</v>
      </c>
      <c r="Q564" s="2" t="n">
        <f aca="false">F564+G564+H564</f>
        <v>3633</v>
      </c>
    </row>
    <row r="565" customFormat="false" ht="12.8" hidden="false" customHeight="false" outlineLevel="0" collapsed="false">
      <c r="A565" s="2" t="s">
        <v>228</v>
      </c>
      <c r="B565" s="2" t="s">
        <v>264</v>
      </c>
      <c r="C565" s="2" t="s">
        <v>220</v>
      </c>
      <c r="D565" s="2" t="n">
        <v>2130</v>
      </c>
      <c r="E565" s="2" t="n">
        <v>103</v>
      </c>
      <c r="F565" s="2" t="n">
        <v>606</v>
      </c>
      <c r="G565" s="2" t="n">
        <v>1787</v>
      </c>
      <c r="H565" s="2" t="n">
        <v>1124</v>
      </c>
      <c r="I565" s="2" t="n">
        <v>1272</v>
      </c>
      <c r="J565" s="2" t="n">
        <v>491</v>
      </c>
      <c r="K565" s="2" t="n">
        <v>2896</v>
      </c>
      <c r="L565" s="2" t="n">
        <v>1102</v>
      </c>
      <c r="M565" s="2" t="n">
        <v>220</v>
      </c>
      <c r="N565" s="2" t="n">
        <v>2094</v>
      </c>
      <c r="O565" s="2" t="n">
        <v>1894</v>
      </c>
      <c r="Q565" s="2" t="n">
        <f aca="false">F565+G565+H565</f>
        <v>3517</v>
      </c>
    </row>
    <row r="566" customFormat="false" ht="12.8" hidden="false" customHeight="false" outlineLevel="0" collapsed="false">
      <c r="A566" s="2" t="s">
        <v>228</v>
      </c>
      <c r="B566" s="2" t="s">
        <v>264</v>
      </c>
      <c r="C566" s="2" t="s">
        <v>221</v>
      </c>
      <c r="D566" s="2" t="n">
        <v>2274</v>
      </c>
      <c r="E566" s="2" t="n">
        <v>110</v>
      </c>
      <c r="F566" s="2" t="n">
        <v>574</v>
      </c>
      <c r="G566" s="2" t="n">
        <v>1753</v>
      </c>
      <c r="H566" s="2" t="n">
        <v>1364</v>
      </c>
      <c r="I566" s="2" t="n">
        <v>1311</v>
      </c>
      <c r="J566" s="2" t="n">
        <v>517</v>
      </c>
      <c r="K566" s="2" t="n">
        <v>3097</v>
      </c>
      <c r="L566" s="2" t="n">
        <v>1098</v>
      </c>
      <c r="M566" s="2" t="n">
        <v>203</v>
      </c>
      <c r="N566" s="2" t="n">
        <v>2233</v>
      </c>
      <c r="O566" s="2" t="n">
        <v>2227</v>
      </c>
      <c r="Q566" s="2" t="n">
        <f aca="false">F566+G566+H566</f>
        <v>3691</v>
      </c>
    </row>
    <row r="567" customFormat="false" ht="12.8" hidden="false" customHeight="false" outlineLevel="0" collapsed="false">
      <c r="A567" s="2" t="s">
        <v>228</v>
      </c>
      <c r="B567" s="2" t="s">
        <v>264</v>
      </c>
      <c r="C567" s="2" t="s">
        <v>222</v>
      </c>
      <c r="D567" s="2" t="n">
        <v>2136</v>
      </c>
      <c r="E567" s="2" t="n">
        <v>89</v>
      </c>
      <c r="F567" s="2" t="n">
        <v>574</v>
      </c>
      <c r="G567" s="2" t="n">
        <v>1832</v>
      </c>
      <c r="H567" s="2" t="n">
        <v>1180</v>
      </c>
      <c r="I567" s="2" t="n">
        <v>1407</v>
      </c>
      <c r="J567" s="2" t="n">
        <v>572</v>
      </c>
      <c r="K567" s="2" t="n">
        <v>2910</v>
      </c>
      <c r="L567" s="2" t="n">
        <v>1275</v>
      </c>
      <c r="M567" s="2" t="n">
        <v>189</v>
      </c>
      <c r="N567" s="2" t="n">
        <v>2122</v>
      </c>
      <c r="O567" s="2" t="n">
        <v>1961</v>
      </c>
      <c r="Q567" s="2" t="n">
        <f aca="false">F567+G567+H567</f>
        <v>3586</v>
      </c>
    </row>
    <row r="568" customFormat="false" ht="12.8" hidden="false" customHeight="false" outlineLevel="0" collapsed="false">
      <c r="A568" s="2" t="s">
        <v>228</v>
      </c>
      <c r="B568" s="2" t="s">
        <v>264</v>
      </c>
      <c r="C568" s="2" t="s">
        <v>223</v>
      </c>
      <c r="D568" s="2" t="n">
        <v>1768</v>
      </c>
      <c r="E568" s="2" t="n">
        <v>68</v>
      </c>
      <c r="F568" s="2" t="n">
        <v>531</v>
      </c>
      <c r="G568" s="2" t="n">
        <v>1723</v>
      </c>
      <c r="H568" s="2" t="n">
        <v>893</v>
      </c>
      <c r="I568" s="2" t="n">
        <v>1247</v>
      </c>
      <c r="J568" s="2" t="n">
        <v>368</v>
      </c>
      <c r="K568" s="2" t="n">
        <v>2642</v>
      </c>
      <c r="L568" s="2" t="n">
        <v>950</v>
      </c>
      <c r="M568" s="2" t="n">
        <v>211</v>
      </c>
      <c r="N568" s="2" t="n">
        <v>1892</v>
      </c>
      <c r="O568" s="2" t="n">
        <v>1690</v>
      </c>
      <c r="Q568" s="2" t="n">
        <f aca="false">F568+G568+H568</f>
        <v>3147</v>
      </c>
    </row>
    <row r="569" customFormat="false" ht="12.8" hidden="false" customHeight="false" outlineLevel="0" collapsed="false">
      <c r="A569" s="2" t="s">
        <v>228</v>
      </c>
      <c r="B569" s="2" t="s">
        <v>264</v>
      </c>
      <c r="C569" s="2" t="s">
        <v>224</v>
      </c>
      <c r="D569" s="2" t="n">
        <v>1538</v>
      </c>
      <c r="E569" s="2" t="n">
        <v>53</v>
      </c>
      <c r="F569" s="2" t="n">
        <v>483</v>
      </c>
      <c r="G569" s="2" t="n">
        <v>1580</v>
      </c>
      <c r="H569" s="2" t="n">
        <v>800</v>
      </c>
      <c r="I569" s="2" t="n">
        <v>974</v>
      </c>
      <c r="J569" s="2" t="n">
        <v>321</v>
      </c>
      <c r="K569" s="2" t="n">
        <v>2355</v>
      </c>
      <c r="L569" s="2" t="n">
        <v>758</v>
      </c>
      <c r="M569" s="2" t="n">
        <v>218</v>
      </c>
      <c r="N569" s="2" t="n">
        <v>1897</v>
      </c>
      <c r="O569" s="2" t="n">
        <v>1525</v>
      </c>
      <c r="Q569" s="2" t="n">
        <f aca="false">F569+G569+H569</f>
        <v>2863</v>
      </c>
    </row>
    <row r="570" customFormat="false" ht="12.8" hidden="false" customHeight="false" outlineLevel="0" collapsed="false">
      <c r="A570" s="2" t="s">
        <v>229</v>
      </c>
      <c r="B570" s="2" t="s">
        <v>264</v>
      </c>
      <c r="C570" s="2" t="s">
        <v>212</v>
      </c>
      <c r="D570" s="2" t="n">
        <v>968</v>
      </c>
      <c r="E570" s="2" t="n">
        <v>31</v>
      </c>
      <c r="F570" s="2" t="n">
        <v>0</v>
      </c>
      <c r="G570" s="2" t="n">
        <v>625</v>
      </c>
      <c r="H570" s="2" t="n">
        <v>378</v>
      </c>
      <c r="I570" s="2" t="n">
        <v>136</v>
      </c>
      <c r="J570" s="2" t="n">
        <v>50</v>
      </c>
      <c r="K570" s="2" t="n">
        <v>1073</v>
      </c>
      <c r="L570" s="2" t="n">
        <v>2</v>
      </c>
      <c r="M570" s="2" t="n">
        <v>0</v>
      </c>
      <c r="N570" s="2" t="n">
        <v>592</v>
      </c>
      <c r="O570" s="2" t="n">
        <v>1081</v>
      </c>
      <c r="Q570" s="2" t="n">
        <f aca="false">F570+G570+H570</f>
        <v>1003</v>
      </c>
    </row>
    <row r="571" customFormat="false" ht="12.8" hidden="false" customHeight="false" outlineLevel="0" collapsed="false">
      <c r="A571" s="2" t="s">
        <v>229</v>
      </c>
      <c r="B571" s="2" t="s">
        <v>264</v>
      </c>
      <c r="C571" s="2" t="s">
        <v>217</v>
      </c>
      <c r="D571" s="2" t="n">
        <v>1346</v>
      </c>
      <c r="E571" s="2" t="n">
        <v>37</v>
      </c>
      <c r="F571" s="2" t="n">
        <v>0</v>
      </c>
      <c r="G571" s="2" t="n">
        <v>972</v>
      </c>
      <c r="H571" s="2" t="n">
        <v>503</v>
      </c>
      <c r="I571" s="2" t="n">
        <v>307</v>
      </c>
      <c r="J571" s="2" t="n">
        <v>45</v>
      </c>
      <c r="K571" s="2" t="n">
        <v>1552</v>
      </c>
      <c r="L571" s="2" t="n">
        <v>74</v>
      </c>
      <c r="M571" s="2" t="n">
        <v>0</v>
      </c>
      <c r="N571" s="2" t="n">
        <v>886</v>
      </c>
      <c r="O571" s="2" t="n">
        <v>1426</v>
      </c>
      <c r="Q571" s="2" t="n">
        <f aca="false">F571+G571+H571</f>
        <v>1475</v>
      </c>
    </row>
    <row r="572" customFormat="false" ht="12.8" hidden="false" customHeight="false" outlineLevel="0" collapsed="false">
      <c r="A572" s="2" t="s">
        <v>229</v>
      </c>
      <c r="B572" s="2" t="s">
        <v>264</v>
      </c>
      <c r="C572" s="2" t="s">
        <v>218</v>
      </c>
      <c r="D572" s="2" t="n">
        <v>2131</v>
      </c>
      <c r="E572" s="2" t="n">
        <v>78</v>
      </c>
      <c r="F572" s="2" t="n">
        <v>0</v>
      </c>
      <c r="G572" s="2" t="n">
        <v>1415</v>
      </c>
      <c r="H572" s="2" t="n">
        <v>1054</v>
      </c>
      <c r="I572" s="2" t="n">
        <v>618</v>
      </c>
      <c r="J572" s="2" t="n">
        <v>77</v>
      </c>
      <c r="K572" s="2" t="n">
        <v>2525</v>
      </c>
      <c r="L572" s="2" t="n">
        <v>354</v>
      </c>
      <c r="M572" s="2" t="n">
        <v>0</v>
      </c>
      <c r="N572" s="2" t="n">
        <v>1426</v>
      </c>
      <c r="O572" s="2" t="n">
        <v>1618</v>
      </c>
      <c r="Q572" s="2" t="n">
        <f aca="false">F572+G572+H572</f>
        <v>2469</v>
      </c>
    </row>
    <row r="573" customFormat="false" ht="12.8" hidden="false" customHeight="false" outlineLevel="0" collapsed="false">
      <c r="A573" s="2" t="s">
        <v>229</v>
      </c>
      <c r="B573" s="2" t="s">
        <v>264</v>
      </c>
      <c r="C573" s="2" t="s">
        <v>219</v>
      </c>
      <c r="D573" s="2" t="n">
        <v>2140</v>
      </c>
      <c r="E573" s="2" t="n">
        <v>88</v>
      </c>
      <c r="F573" s="2" t="n">
        <v>0</v>
      </c>
      <c r="G573" s="2" t="n">
        <v>1574</v>
      </c>
      <c r="H573" s="2" t="n">
        <v>1046</v>
      </c>
      <c r="I573" s="2" t="n">
        <v>827</v>
      </c>
      <c r="J573" s="2" t="n">
        <v>72</v>
      </c>
      <c r="K573" s="2" t="n">
        <v>2750</v>
      </c>
      <c r="L573" s="2" t="n">
        <v>306</v>
      </c>
      <c r="M573" s="2" t="n">
        <v>0</v>
      </c>
      <c r="N573" s="2" t="n">
        <v>1581</v>
      </c>
      <c r="O573" s="2" t="n">
        <v>1873</v>
      </c>
      <c r="Q573" s="2" t="n">
        <f aca="false">F573+G573+H573</f>
        <v>2620</v>
      </c>
    </row>
    <row r="574" customFormat="false" ht="12.8" hidden="false" customHeight="false" outlineLevel="0" collapsed="false">
      <c r="A574" s="2" t="s">
        <v>229</v>
      </c>
      <c r="B574" s="2" t="s">
        <v>264</v>
      </c>
      <c r="C574" s="2" t="s">
        <v>220</v>
      </c>
      <c r="D574" s="2" t="n">
        <v>1782</v>
      </c>
      <c r="E574" s="2" t="n">
        <v>98</v>
      </c>
      <c r="F574" s="2" t="n">
        <v>0</v>
      </c>
      <c r="G574" s="2" t="n">
        <v>1345</v>
      </c>
      <c r="H574" s="2" t="n">
        <v>856</v>
      </c>
      <c r="I574" s="2" t="n">
        <v>575</v>
      </c>
      <c r="J574" s="2" t="n">
        <v>18</v>
      </c>
      <c r="K574" s="2" t="n">
        <v>2311</v>
      </c>
      <c r="L574" s="2" t="n">
        <v>234</v>
      </c>
      <c r="M574" s="2" t="n">
        <v>0</v>
      </c>
      <c r="N574" s="2" t="n">
        <v>1123</v>
      </c>
      <c r="O574" s="2" t="n">
        <v>1583</v>
      </c>
      <c r="Q574" s="2" t="n">
        <f aca="false">F574+G574+H574</f>
        <v>2201</v>
      </c>
    </row>
    <row r="575" customFormat="false" ht="12.8" hidden="false" customHeight="false" outlineLevel="0" collapsed="false">
      <c r="A575" s="2" t="s">
        <v>229</v>
      </c>
      <c r="B575" s="2" t="s">
        <v>264</v>
      </c>
      <c r="C575" s="2" t="s">
        <v>221</v>
      </c>
      <c r="D575" s="2" t="n">
        <v>1815</v>
      </c>
      <c r="E575" s="2" t="n">
        <v>59</v>
      </c>
      <c r="F575" s="2" t="n">
        <v>0</v>
      </c>
      <c r="G575" s="2" t="n">
        <v>1367</v>
      </c>
      <c r="H575" s="2" t="n">
        <v>908</v>
      </c>
      <c r="I575" s="2" t="n">
        <v>626</v>
      </c>
      <c r="J575" s="2" t="n">
        <v>61</v>
      </c>
      <c r="K575" s="2" t="n">
        <v>2325</v>
      </c>
      <c r="L575" s="2" t="n">
        <v>296</v>
      </c>
      <c r="M575" s="2" t="n">
        <v>0</v>
      </c>
      <c r="N575" s="2" t="n">
        <v>1157</v>
      </c>
      <c r="O575" s="2" t="n">
        <v>1623</v>
      </c>
      <c r="Q575" s="2" t="n">
        <f aca="false">F575+G575+H575</f>
        <v>2275</v>
      </c>
    </row>
    <row r="576" customFormat="false" ht="12.8" hidden="false" customHeight="false" outlineLevel="0" collapsed="false">
      <c r="A576" s="2" t="s">
        <v>229</v>
      </c>
      <c r="B576" s="2" t="s">
        <v>264</v>
      </c>
      <c r="C576" s="2" t="s">
        <v>222</v>
      </c>
      <c r="D576" s="2" t="n">
        <v>1788</v>
      </c>
      <c r="E576" s="2" t="n">
        <v>71</v>
      </c>
      <c r="F576" s="2" t="n">
        <v>0</v>
      </c>
      <c r="G576" s="2" t="n">
        <v>1393</v>
      </c>
      <c r="H576" s="2" t="n">
        <v>926</v>
      </c>
      <c r="I576" s="2" t="n">
        <v>842</v>
      </c>
      <c r="J576" s="2" t="n">
        <v>34</v>
      </c>
      <c r="K576" s="2" t="n">
        <v>2430</v>
      </c>
      <c r="L576" s="2" t="n">
        <v>385</v>
      </c>
      <c r="M576" s="2" t="n">
        <v>9</v>
      </c>
      <c r="N576" s="2" t="n">
        <v>1224</v>
      </c>
      <c r="O576" s="2" t="n">
        <v>1566</v>
      </c>
      <c r="Q576" s="2" t="n">
        <f aca="false">F576+G576+H576</f>
        <v>2319</v>
      </c>
    </row>
    <row r="577" customFormat="false" ht="12.8" hidden="false" customHeight="false" outlineLevel="0" collapsed="false">
      <c r="A577" s="2" t="s">
        <v>229</v>
      </c>
      <c r="B577" s="2" t="s">
        <v>264</v>
      </c>
      <c r="C577" s="2" t="s">
        <v>223</v>
      </c>
      <c r="D577" s="2" t="n">
        <v>1771</v>
      </c>
      <c r="E577" s="2" t="n">
        <v>78</v>
      </c>
      <c r="F577" s="2" t="n">
        <v>0</v>
      </c>
      <c r="G577" s="2" t="n">
        <v>1584</v>
      </c>
      <c r="H577" s="2" t="n">
        <v>909</v>
      </c>
      <c r="I577" s="2" t="n">
        <v>1080</v>
      </c>
      <c r="J577" s="2" t="n">
        <v>23</v>
      </c>
      <c r="K577" s="2" t="n">
        <v>2658</v>
      </c>
      <c r="L577" s="2" t="n">
        <v>465</v>
      </c>
      <c r="M577" s="2" t="n">
        <v>28</v>
      </c>
      <c r="N577" s="2" t="n">
        <v>1423</v>
      </c>
      <c r="O577" s="2" t="n">
        <v>1991</v>
      </c>
      <c r="Q577" s="2" t="n">
        <f aca="false">F577+G577+H577</f>
        <v>2493</v>
      </c>
    </row>
    <row r="578" customFormat="false" ht="12.8" hidden="false" customHeight="false" outlineLevel="0" collapsed="false">
      <c r="A578" s="2" t="s">
        <v>229</v>
      </c>
      <c r="B578" s="2" t="s">
        <v>264</v>
      </c>
      <c r="C578" s="2" t="s">
        <v>224</v>
      </c>
      <c r="D578" s="2" t="n">
        <v>1836</v>
      </c>
      <c r="E578" s="2" t="n">
        <v>76</v>
      </c>
      <c r="F578" s="2" t="n">
        <v>0</v>
      </c>
      <c r="G578" s="2" t="n">
        <v>1742</v>
      </c>
      <c r="H578" s="2" t="n">
        <v>956</v>
      </c>
      <c r="I578" s="2" t="n">
        <v>1244</v>
      </c>
      <c r="J578" s="2" t="n">
        <v>37</v>
      </c>
      <c r="K578" s="2" t="n">
        <v>2806</v>
      </c>
      <c r="L578" s="2" t="n">
        <v>585</v>
      </c>
      <c r="M578" s="2" t="n">
        <v>22</v>
      </c>
      <c r="N578" s="2" t="n">
        <v>1436</v>
      </c>
      <c r="O578" s="2" t="n">
        <v>2130</v>
      </c>
      <c r="Q578" s="2" t="n">
        <f aca="false">F578+G578+H578</f>
        <v>2698</v>
      </c>
    </row>
    <row r="579" customFormat="false" ht="12.8" hidden="false" customHeight="false" outlineLevel="0" collapsed="false">
      <c r="A579" s="2" t="s">
        <v>230</v>
      </c>
      <c r="B579" s="2" t="s">
        <v>264</v>
      </c>
      <c r="C579" s="2" t="s">
        <v>212</v>
      </c>
      <c r="D579" s="2" t="n">
        <v>814</v>
      </c>
      <c r="E579" s="2" t="n">
        <v>39</v>
      </c>
      <c r="F579" s="2" t="n">
        <v>77</v>
      </c>
      <c r="G579" s="2" t="n">
        <v>716</v>
      </c>
      <c r="H579" s="2" t="n">
        <v>264</v>
      </c>
      <c r="I579" s="2" t="n">
        <v>102</v>
      </c>
      <c r="J579" s="2" t="n">
        <v>449</v>
      </c>
      <c r="K579" s="2" t="n">
        <v>781</v>
      </c>
      <c r="L579" s="2" t="n">
        <v>373</v>
      </c>
      <c r="M579" s="2" t="n">
        <v>30</v>
      </c>
      <c r="N579" s="2" t="n">
        <v>251</v>
      </c>
      <c r="O579" s="2" t="n">
        <v>761</v>
      </c>
      <c r="Q579" s="2" t="n">
        <f aca="false">F579+G579+H579</f>
        <v>1057</v>
      </c>
    </row>
    <row r="580" customFormat="false" ht="12.8" hidden="false" customHeight="false" outlineLevel="0" collapsed="false">
      <c r="A580" s="2" t="s">
        <v>230</v>
      </c>
      <c r="B580" s="2" t="s">
        <v>264</v>
      </c>
      <c r="C580" s="2" t="s">
        <v>217</v>
      </c>
      <c r="D580" s="2" t="n">
        <v>795</v>
      </c>
      <c r="E580" s="2" t="n">
        <v>35</v>
      </c>
      <c r="F580" s="2" t="n">
        <v>76</v>
      </c>
      <c r="G580" s="2" t="n">
        <v>738</v>
      </c>
      <c r="H580" s="2" t="n">
        <v>321</v>
      </c>
      <c r="I580" s="2" t="n">
        <v>67</v>
      </c>
      <c r="J580" s="2" t="n">
        <v>495</v>
      </c>
      <c r="K580" s="2" t="n">
        <v>866</v>
      </c>
      <c r="L580" s="2" t="n">
        <v>440</v>
      </c>
      <c r="M580" s="2" t="n">
        <v>34</v>
      </c>
      <c r="N580" s="2" t="n">
        <v>304</v>
      </c>
      <c r="O580" s="2" t="n">
        <v>814</v>
      </c>
      <c r="Q580" s="2" t="n">
        <f aca="false">F580+G580+H580</f>
        <v>1135</v>
      </c>
    </row>
    <row r="581" customFormat="false" ht="12.8" hidden="false" customHeight="false" outlineLevel="0" collapsed="false">
      <c r="A581" s="2" t="s">
        <v>230</v>
      </c>
      <c r="B581" s="2" t="s">
        <v>264</v>
      </c>
      <c r="C581" s="2" t="s">
        <v>218</v>
      </c>
      <c r="D581" s="2" t="n">
        <v>765</v>
      </c>
      <c r="E581" s="2" t="n">
        <v>27</v>
      </c>
      <c r="F581" s="2" t="n">
        <v>90</v>
      </c>
      <c r="G581" s="2" t="n">
        <v>758</v>
      </c>
      <c r="H581" s="2" t="n">
        <v>347</v>
      </c>
      <c r="I581" s="2" t="n">
        <v>33</v>
      </c>
      <c r="J581" s="2" t="n">
        <v>466</v>
      </c>
      <c r="K581" s="2" t="n">
        <v>859</v>
      </c>
      <c r="L581" s="2" t="n">
        <v>466</v>
      </c>
      <c r="M581" s="2" t="n">
        <v>32</v>
      </c>
      <c r="N581" s="2" t="n">
        <v>354</v>
      </c>
      <c r="O581" s="2" t="n">
        <v>690</v>
      </c>
      <c r="Q581" s="2" t="n">
        <f aca="false">F581+G581+H581</f>
        <v>1195</v>
      </c>
    </row>
    <row r="582" customFormat="false" ht="12.8" hidden="false" customHeight="false" outlineLevel="0" collapsed="false">
      <c r="A582" s="2" t="s">
        <v>230</v>
      </c>
      <c r="B582" s="2" t="s">
        <v>264</v>
      </c>
      <c r="C582" s="2" t="s">
        <v>219</v>
      </c>
      <c r="D582" s="2" t="n">
        <v>705</v>
      </c>
      <c r="E582" s="2" t="n">
        <v>21</v>
      </c>
      <c r="F582" s="2" t="n">
        <v>95</v>
      </c>
      <c r="G582" s="2" t="n">
        <v>719</v>
      </c>
      <c r="H582" s="2" t="n">
        <v>344</v>
      </c>
      <c r="I582" s="2" t="n">
        <v>78</v>
      </c>
      <c r="J582" s="2" t="n">
        <v>443</v>
      </c>
      <c r="K582" s="2" t="n">
        <v>821</v>
      </c>
      <c r="L582" s="2" t="n">
        <v>524</v>
      </c>
      <c r="M582" s="2" t="n">
        <v>71</v>
      </c>
      <c r="N582" s="2" t="n">
        <v>314</v>
      </c>
      <c r="O582" s="2" t="n">
        <v>847</v>
      </c>
      <c r="Q582" s="2" t="n">
        <f aca="false">F582+G582+H582</f>
        <v>1158</v>
      </c>
    </row>
    <row r="583" customFormat="false" ht="12.8" hidden="false" customHeight="false" outlineLevel="0" collapsed="false">
      <c r="A583" s="2" t="s">
        <v>230</v>
      </c>
      <c r="B583" s="2" t="s">
        <v>264</v>
      </c>
      <c r="C583" s="2" t="s">
        <v>220</v>
      </c>
      <c r="D583" s="2" t="n">
        <v>786</v>
      </c>
      <c r="E583" s="2" t="n">
        <v>21</v>
      </c>
      <c r="F583" s="2" t="n">
        <v>103</v>
      </c>
      <c r="G583" s="2" t="n">
        <v>901</v>
      </c>
      <c r="H583" s="2" t="n">
        <v>349</v>
      </c>
      <c r="I583" s="2" t="n">
        <v>343</v>
      </c>
      <c r="J583" s="2" t="n">
        <v>409</v>
      </c>
      <c r="K583" s="2" t="n">
        <v>985</v>
      </c>
      <c r="L583" s="2" t="n">
        <v>665</v>
      </c>
      <c r="M583" s="2" t="n">
        <v>74</v>
      </c>
      <c r="N583" s="2" t="n">
        <v>380</v>
      </c>
      <c r="O583" s="2" t="n">
        <v>1135</v>
      </c>
      <c r="Q583" s="2" t="n">
        <f aca="false">F583+G583+H583</f>
        <v>1353</v>
      </c>
    </row>
    <row r="584" customFormat="false" ht="12.8" hidden="false" customHeight="false" outlineLevel="0" collapsed="false">
      <c r="A584" s="2" t="s">
        <v>230</v>
      </c>
      <c r="B584" s="2" t="s">
        <v>264</v>
      </c>
      <c r="C584" s="2" t="s">
        <v>221</v>
      </c>
      <c r="D584" s="2" t="n">
        <v>847</v>
      </c>
      <c r="E584" s="2" t="n">
        <v>31</v>
      </c>
      <c r="F584" s="2" t="n">
        <v>126</v>
      </c>
      <c r="G584" s="2" t="n">
        <v>976</v>
      </c>
      <c r="H584" s="2" t="n">
        <v>435</v>
      </c>
      <c r="I584" s="2" t="n">
        <v>275</v>
      </c>
      <c r="J584" s="2" t="n">
        <v>509</v>
      </c>
      <c r="K584" s="2" t="n">
        <v>1035</v>
      </c>
      <c r="L584" s="2" t="n">
        <v>727</v>
      </c>
      <c r="M584" s="2" t="n">
        <v>98</v>
      </c>
      <c r="N584" s="2" t="n">
        <v>471</v>
      </c>
      <c r="O584" s="2" t="n">
        <v>1121</v>
      </c>
      <c r="Q584" s="2" t="n">
        <f aca="false">F584+G584+H584</f>
        <v>1537</v>
      </c>
    </row>
    <row r="585" customFormat="false" ht="12.8" hidden="false" customHeight="false" outlineLevel="0" collapsed="false">
      <c r="A585" s="2" t="s">
        <v>230</v>
      </c>
      <c r="B585" s="2" t="s">
        <v>264</v>
      </c>
      <c r="C585" s="2" t="s">
        <v>222</v>
      </c>
      <c r="D585" s="2" t="n">
        <v>749</v>
      </c>
      <c r="E585" s="2" t="n">
        <v>32</v>
      </c>
      <c r="F585" s="2" t="n">
        <v>174</v>
      </c>
      <c r="G585" s="2" t="n">
        <v>944</v>
      </c>
      <c r="H585" s="2" t="n">
        <v>403</v>
      </c>
      <c r="I585" s="2" t="n">
        <v>212</v>
      </c>
      <c r="J585" s="2" t="n">
        <v>517</v>
      </c>
      <c r="K585" s="2" t="n">
        <v>1001</v>
      </c>
      <c r="L585" s="2" t="n">
        <v>585</v>
      </c>
      <c r="M585" s="2" t="n">
        <v>140</v>
      </c>
      <c r="N585" s="2" t="n">
        <v>439</v>
      </c>
      <c r="O585" s="2" t="n">
        <v>945</v>
      </c>
      <c r="Q585" s="2" t="n">
        <f aca="false">F585+G585+H585</f>
        <v>1521</v>
      </c>
    </row>
    <row r="586" customFormat="false" ht="12.8" hidden="false" customHeight="false" outlineLevel="0" collapsed="false">
      <c r="A586" s="2" t="s">
        <v>230</v>
      </c>
      <c r="B586" s="2" t="s">
        <v>264</v>
      </c>
      <c r="C586" s="2" t="s">
        <v>223</v>
      </c>
      <c r="D586" s="2" t="n">
        <v>704</v>
      </c>
      <c r="E586" s="2" t="n">
        <v>31</v>
      </c>
      <c r="F586" s="2" t="n">
        <v>143</v>
      </c>
      <c r="G586" s="2" t="n">
        <v>882</v>
      </c>
      <c r="H586" s="2" t="n">
        <v>337</v>
      </c>
      <c r="I586" s="2" t="n">
        <v>239</v>
      </c>
      <c r="J586" s="2" t="n">
        <v>550</v>
      </c>
      <c r="K586" s="2" t="n">
        <v>944</v>
      </c>
      <c r="L586" s="2" t="n">
        <v>540</v>
      </c>
      <c r="M586" s="2" t="n">
        <v>124</v>
      </c>
      <c r="N586" s="2" t="n">
        <v>406</v>
      </c>
      <c r="O586" s="2" t="n">
        <v>1138</v>
      </c>
      <c r="Q586" s="2" t="n">
        <f aca="false">F586+G586+H586</f>
        <v>1362</v>
      </c>
    </row>
    <row r="587" customFormat="false" ht="12.8" hidden="false" customHeight="false" outlineLevel="0" collapsed="false">
      <c r="A587" s="2" t="s">
        <v>230</v>
      </c>
      <c r="B587" s="2" t="s">
        <v>264</v>
      </c>
      <c r="C587" s="2" t="s">
        <v>224</v>
      </c>
      <c r="D587" s="2" t="n">
        <v>884</v>
      </c>
      <c r="E587" s="2" t="n">
        <v>26</v>
      </c>
      <c r="F587" s="2" t="n">
        <v>138</v>
      </c>
      <c r="G587" s="2" t="n">
        <v>1147</v>
      </c>
      <c r="H587" s="2" t="n">
        <v>428</v>
      </c>
      <c r="I587" s="2" t="n">
        <v>344</v>
      </c>
      <c r="J587" s="2" t="n">
        <v>632</v>
      </c>
      <c r="K587" s="2" t="n">
        <v>1238</v>
      </c>
      <c r="L587" s="2" t="n">
        <v>586</v>
      </c>
      <c r="M587" s="2" t="n">
        <v>157</v>
      </c>
      <c r="N587" s="2" t="n">
        <v>482</v>
      </c>
      <c r="O587" s="2" t="n">
        <v>1364</v>
      </c>
      <c r="Q587" s="2" t="n">
        <f aca="false">F587+G587+H587</f>
        <v>1713</v>
      </c>
    </row>
    <row r="588" customFormat="false" ht="12.8" hidden="false" customHeight="false" outlineLevel="0" collapsed="false">
      <c r="A588" s="2" t="s">
        <v>231</v>
      </c>
      <c r="B588" s="2" t="s">
        <v>264</v>
      </c>
      <c r="C588" s="2" t="s">
        <v>212</v>
      </c>
      <c r="D588" s="2" t="n">
        <v>1161</v>
      </c>
      <c r="E588" s="2" t="n">
        <v>28</v>
      </c>
      <c r="F588" s="2" t="n">
        <v>0</v>
      </c>
      <c r="G588" s="2" t="n">
        <v>1043</v>
      </c>
      <c r="H588" s="2" t="n">
        <v>250</v>
      </c>
      <c r="I588" s="2" t="n">
        <v>381</v>
      </c>
      <c r="J588" s="2" t="n">
        <v>10</v>
      </c>
      <c r="K588" s="2" t="n">
        <v>1328</v>
      </c>
      <c r="L588" s="2" t="n">
        <v>134</v>
      </c>
      <c r="M588" s="2" t="n">
        <v>44</v>
      </c>
      <c r="N588" s="2" t="n">
        <v>1033</v>
      </c>
      <c r="O588" s="2" t="n">
        <v>806</v>
      </c>
      <c r="Q588" s="2" t="n">
        <f aca="false">F588+G588+H588</f>
        <v>1293</v>
      </c>
    </row>
    <row r="589" customFormat="false" ht="12.8" hidden="false" customHeight="false" outlineLevel="0" collapsed="false">
      <c r="A589" s="2" t="s">
        <v>231</v>
      </c>
      <c r="B589" s="2" t="s">
        <v>264</v>
      </c>
      <c r="C589" s="2" t="s">
        <v>217</v>
      </c>
      <c r="D589" s="2" t="n">
        <v>1176</v>
      </c>
      <c r="E589" s="2" t="n">
        <v>18</v>
      </c>
      <c r="F589" s="2" t="n">
        <v>0</v>
      </c>
      <c r="G589" s="2" t="n">
        <v>1209</v>
      </c>
      <c r="H589" s="2" t="n">
        <v>208</v>
      </c>
      <c r="I589" s="2" t="n">
        <v>432</v>
      </c>
      <c r="J589" s="2" t="n">
        <v>25</v>
      </c>
      <c r="K589" s="2" t="n">
        <v>1450</v>
      </c>
      <c r="L589" s="2" t="n">
        <v>174</v>
      </c>
      <c r="M589" s="2" t="n">
        <v>25</v>
      </c>
      <c r="N589" s="2" t="n">
        <v>1102</v>
      </c>
      <c r="O589" s="2" t="n">
        <v>1022</v>
      </c>
      <c r="Q589" s="2" t="n">
        <f aca="false">F589+G589+H589</f>
        <v>1417</v>
      </c>
    </row>
    <row r="590" customFormat="false" ht="12.8" hidden="false" customHeight="false" outlineLevel="0" collapsed="false">
      <c r="A590" s="2" t="s">
        <v>231</v>
      </c>
      <c r="B590" s="2" t="s">
        <v>264</v>
      </c>
      <c r="C590" s="2" t="s">
        <v>218</v>
      </c>
      <c r="D590" s="2" t="n">
        <v>1108</v>
      </c>
      <c r="E590" s="2" t="n">
        <v>21</v>
      </c>
      <c r="F590" s="2" t="n">
        <v>0</v>
      </c>
      <c r="G590" s="2" t="n">
        <v>1078</v>
      </c>
      <c r="H590" s="2" t="n">
        <v>228</v>
      </c>
      <c r="I590" s="2" t="n">
        <v>450</v>
      </c>
      <c r="J590" s="2" t="n">
        <v>13</v>
      </c>
      <c r="K590" s="2" t="n">
        <v>1344</v>
      </c>
      <c r="L590" s="2" t="n">
        <v>166</v>
      </c>
      <c r="M590" s="2" t="n">
        <v>18</v>
      </c>
      <c r="N590" s="2" t="n">
        <v>983</v>
      </c>
      <c r="O590" s="2" t="n">
        <v>873</v>
      </c>
      <c r="Q590" s="2" t="n">
        <f aca="false">F590+G590+H590</f>
        <v>1306</v>
      </c>
    </row>
    <row r="591" customFormat="false" ht="12.8" hidden="false" customHeight="false" outlineLevel="0" collapsed="false">
      <c r="A591" s="2" t="s">
        <v>231</v>
      </c>
      <c r="B591" s="2" t="s">
        <v>264</v>
      </c>
      <c r="C591" s="2" t="s">
        <v>219</v>
      </c>
      <c r="D591" s="2" t="n">
        <v>1137</v>
      </c>
      <c r="E591" s="2" t="n">
        <v>24</v>
      </c>
      <c r="F591" s="2" t="n">
        <v>0</v>
      </c>
      <c r="G591" s="2" t="n">
        <v>1178</v>
      </c>
      <c r="H591" s="2" t="n">
        <v>214</v>
      </c>
      <c r="I591" s="2" t="n">
        <v>444</v>
      </c>
      <c r="J591" s="2" t="n">
        <v>41</v>
      </c>
      <c r="K591" s="2" t="n">
        <v>1447</v>
      </c>
      <c r="L591" s="2" t="n">
        <v>191</v>
      </c>
      <c r="M591" s="2" t="n">
        <v>31</v>
      </c>
      <c r="N591" s="2" t="n">
        <v>1142</v>
      </c>
      <c r="O591" s="2" t="n">
        <v>1062</v>
      </c>
      <c r="Q591" s="2" t="n">
        <f aca="false">F591+G591+H591</f>
        <v>1392</v>
      </c>
    </row>
    <row r="592" customFormat="false" ht="12.8" hidden="false" customHeight="false" outlineLevel="0" collapsed="false">
      <c r="A592" s="2" t="s">
        <v>231</v>
      </c>
      <c r="B592" s="2" t="s">
        <v>264</v>
      </c>
      <c r="C592" s="2" t="s">
        <v>220</v>
      </c>
      <c r="D592" s="2" t="n">
        <v>1047</v>
      </c>
      <c r="E592" s="2" t="n">
        <v>24</v>
      </c>
      <c r="F592" s="2" t="n">
        <v>0</v>
      </c>
      <c r="G592" s="2" t="n">
        <v>1155</v>
      </c>
      <c r="H592" s="2" t="n">
        <v>211</v>
      </c>
      <c r="I592" s="2" t="n">
        <v>440</v>
      </c>
      <c r="J592" s="2" t="n">
        <v>37</v>
      </c>
      <c r="K592" s="2" t="n">
        <v>1393</v>
      </c>
      <c r="L592" s="2" t="n">
        <v>195</v>
      </c>
      <c r="M592" s="2" t="n">
        <v>32</v>
      </c>
      <c r="N592" s="2" t="n">
        <v>1018</v>
      </c>
      <c r="O592" s="2" t="n">
        <v>962</v>
      </c>
      <c r="Q592" s="2" t="n">
        <f aca="false">F592+G592+H592</f>
        <v>1366</v>
      </c>
    </row>
    <row r="593" customFormat="false" ht="12.8" hidden="false" customHeight="false" outlineLevel="0" collapsed="false">
      <c r="A593" s="2" t="s">
        <v>231</v>
      </c>
      <c r="B593" s="2" t="s">
        <v>264</v>
      </c>
      <c r="C593" s="2" t="s">
        <v>221</v>
      </c>
      <c r="D593" s="2" t="n">
        <v>965</v>
      </c>
      <c r="E593" s="2" t="n">
        <v>20</v>
      </c>
      <c r="F593" s="2" t="n">
        <v>0</v>
      </c>
      <c r="G593" s="2" t="n">
        <v>1119</v>
      </c>
      <c r="H593" s="2" t="n">
        <v>171</v>
      </c>
      <c r="I593" s="2" t="n">
        <v>427</v>
      </c>
      <c r="J593" s="2" t="n">
        <v>44</v>
      </c>
      <c r="K593" s="2" t="n">
        <v>1346</v>
      </c>
      <c r="L593" s="2" t="n">
        <v>209</v>
      </c>
      <c r="M593" s="2" t="n">
        <v>30</v>
      </c>
      <c r="N593" s="2" t="n">
        <v>1004</v>
      </c>
      <c r="O593" s="2" t="n">
        <v>955</v>
      </c>
      <c r="Q593" s="2" t="n">
        <f aca="false">F593+G593+H593</f>
        <v>1290</v>
      </c>
    </row>
    <row r="594" customFormat="false" ht="12.8" hidden="false" customHeight="false" outlineLevel="0" collapsed="false">
      <c r="A594" s="2" t="s">
        <v>231</v>
      </c>
      <c r="B594" s="2" t="s">
        <v>264</v>
      </c>
      <c r="C594" s="2" t="s">
        <v>222</v>
      </c>
      <c r="D594" s="2" t="n">
        <v>1027</v>
      </c>
      <c r="E594" s="2" t="n">
        <v>23</v>
      </c>
      <c r="F594" s="2" t="n">
        <v>0</v>
      </c>
      <c r="G594" s="2" t="n">
        <v>1118</v>
      </c>
      <c r="H594" s="2" t="n">
        <v>241</v>
      </c>
      <c r="I594" s="2" t="n">
        <v>452</v>
      </c>
      <c r="J594" s="2" t="n">
        <v>32</v>
      </c>
      <c r="K594" s="2" t="n">
        <v>1380</v>
      </c>
      <c r="L594" s="2" t="n">
        <v>220</v>
      </c>
      <c r="M594" s="2" t="n">
        <v>44</v>
      </c>
      <c r="N594" s="2" t="n">
        <v>1021</v>
      </c>
      <c r="O594" s="2" t="n">
        <v>939</v>
      </c>
      <c r="Q594" s="2" t="n">
        <f aca="false">F594+G594+H594</f>
        <v>1359</v>
      </c>
    </row>
    <row r="595" customFormat="false" ht="12.8" hidden="false" customHeight="false" outlineLevel="0" collapsed="false">
      <c r="A595" s="2" t="s">
        <v>231</v>
      </c>
      <c r="B595" s="2" t="s">
        <v>264</v>
      </c>
      <c r="C595" s="2" t="s">
        <v>223</v>
      </c>
      <c r="D595" s="2" t="n">
        <v>874</v>
      </c>
      <c r="E595" s="2" t="n">
        <v>22</v>
      </c>
      <c r="F595" s="2" t="n">
        <v>0</v>
      </c>
      <c r="G595" s="2" t="n">
        <v>1047</v>
      </c>
      <c r="H595" s="2" t="n">
        <v>198</v>
      </c>
      <c r="I595" s="2" t="n">
        <v>407</v>
      </c>
      <c r="J595" s="2" t="n">
        <v>20</v>
      </c>
      <c r="K595" s="2" t="n">
        <v>1267</v>
      </c>
      <c r="L595" s="2" t="n">
        <v>165</v>
      </c>
      <c r="M595" s="2" t="n">
        <v>37</v>
      </c>
      <c r="N595" s="2" t="n">
        <v>954</v>
      </c>
      <c r="O595" s="2" t="n">
        <v>816</v>
      </c>
      <c r="Q595" s="2" t="n">
        <f aca="false">F595+G595+H595</f>
        <v>1245</v>
      </c>
    </row>
    <row r="596" customFormat="false" ht="12.8" hidden="false" customHeight="false" outlineLevel="0" collapsed="false">
      <c r="A596" s="2" t="s">
        <v>231</v>
      </c>
      <c r="B596" s="2" t="s">
        <v>264</v>
      </c>
      <c r="C596" s="2" t="s">
        <v>224</v>
      </c>
      <c r="D596" s="2" t="n">
        <v>918</v>
      </c>
      <c r="E596" s="2" t="n">
        <v>16</v>
      </c>
      <c r="F596" s="2" t="n">
        <v>0</v>
      </c>
      <c r="G596" s="2" t="n">
        <v>1093</v>
      </c>
      <c r="H596" s="2" t="n">
        <v>202</v>
      </c>
      <c r="I596" s="2" t="n">
        <v>458</v>
      </c>
      <c r="J596" s="2" t="n">
        <v>41</v>
      </c>
      <c r="K596" s="2" t="n">
        <v>1361</v>
      </c>
      <c r="L596" s="2" t="n">
        <v>177</v>
      </c>
      <c r="M596" s="2" t="n">
        <v>29</v>
      </c>
      <c r="N596" s="2" t="n">
        <v>995</v>
      </c>
      <c r="O596" s="2" t="n">
        <v>922</v>
      </c>
      <c r="Q596" s="2" t="n">
        <f aca="false">F596+G596+H596</f>
        <v>1295</v>
      </c>
    </row>
    <row r="597" customFormat="false" ht="12.8" hidden="false" customHeight="false" outlineLevel="0" collapsed="false">
      <c r="A597" s="2" t="s">
        <v>232</v>
      </c>
      <c r="B597" s="2" t="s">
        <v>264</v>
      </c>
      <c r="C597" s="2" t="s">
        <v>212</v>
      </c>
      <c r="D597" s="2" t="n">
        <v>2997</v>
      </c>
      <c r="E597" s="2" t="n">
        <v>128</v>
      </c>
      <c r="F597" s="2" t="n">
        <v>645</v>
      </c>
      <c r="G597" s="2" t="n">
        <v>693</v>
      </c>
      <c r="H597" s="2" t="n">
        <v>2161</v>
      </c>
      <c r="I597" s="2" t="n">
        <v>547</v>
      </c>
      <c r="J597" s="2" t="n">
        <v>497</v>
      </c>
      <c r="K597" s="2" t="n">
        <v>3605</v>
      </c>
      <c r="L597" s="2" t="n">
        <v>324</v>
      </c>
      <c r="M597" s="2" t="n">
        <v>89</v>
      </c>
      <c r="N597" s="2" t="n">
        <v>891</v>
      </c>
      <c r="O597" s="2" t="n">
        <v>1757</v>
      </c>
      <c r="Q597" s="2" t="n">
        <f aca="false">F597+G597+H597</f>
        <v>3499</v>
      </c>
    </row>
    <row r="598" customFormat="false" ht="12.8" hidden="false" customHeight="false" outlineLevel="0" collapsed="false">
      <c r="A598" s="2" t="s">
        <v>232</v>
      </c>
      <c r="B598" s="2" t="s">
        <v>264</v>
      </c>
      <c r="C598" s="2" t="s">
        <v>217</v>
      </c>
      <c r="D598" s="2" t="n">
        <v>3042</v>
      </c>
      <c r="E598" s="2" t="n">
        <v>148</v>
      </c>
      <c r="F598" s="2" t="n">
        <v>807</v>
      </c>
      <c r="G598" s="2" t="n">
        <v>935</v>
      </c>
      <c r="H598" s="2" t="n">
        <v>2392</v>
      </c>
      <c r="I598" s="2" t="n">
        <v>576</v>
      </c>
      <c r="J598" s="2" t="n">
        <v>622</v>
      </c>
      <c r="K598" s="2" t="n">
        <v>4142</v>
      </c>
      <c r="L598" s="2" t="n">
        <v>328</v>
      </c>
      <c r="M598" s="2" t="n">
        <v>120</v>
      </c>
      <c r="N598" s="2" t="n">
        <v>1005</v>
      </c>
      <c r="O598" s="2" t="n">
        <v>1870</v>
      </c>
      <c r="Q598" s="2" t="n">
        <f aca="false">F598+G598+H598</f>
        <v>4134</v>
      </c>
    </row>
    <row r="599" customFormat="false" ht="12.8" hidden="false" customHeight="false" outlineLevel="0" collapsed="false">
      <c r="A599" s="2" t="s">
        <v>232</v>
      </c>
      <c r="B599" s="2" t="s">
        <v>264</v>
      </c>
      <c r="C599" s="2" t="s">
        <v>218</v>
      </c>
      <c r="D599" s="2" t="n">
        <v>2774</v>
      </c>
      <c r="E599" s="2" t="n">
        <v>181</v>
      </c>
      <c r="F599" s="2" t="n">
        <v>787</v>
      </c>
      <c r="G599" s="2" t="n">
        <v>813</v>
      </c>
      <c r="H599" s="2" t="n">
        <v>2373</v>
      </c>
      <c r="I599" s="2" t="n">
        <v>550</v>
      </c>
      <c r="J599" s="2" t="n">
        <v>521</v>
      </c>
      <c r="K599" s="2" t="n">
        <v>3877</v>
      </c>
      <c r="L599" s="2" t="n">
        <v>322</v>
      </c>
      <c r="M599" s="2" t="n">
        <v>117</v>
      </c>
      <c r="N599" s="2" t="n">
        <v>898</v>
      </c>
      <c r="O599" s="2" t="n">
        <v>1608</v>
      </c>
      <c r="Q599" s="2" t="n">
        <f aca="false">F599+G599+H599</f>
        <v>3973</v>
      </c>
    </row>
    <row r="600" customFormat="false" ht="12.8" hidden="false" customHeight="false" outlineLevel="0" collapsed="false">
      <c r="A600" s="2" t="s">
        <v>232</v>
      </c>
      <c r="B600" s="2" t="s">
        <v>264</v>
      </c>
      <c r="C600" s="2" t="s">
        <v>219</v>
      </c>
      <c r="D600" s="2" t="n">
        <v>2850</v>
      </c>
      <c r="E600" s="2" t="n">
        <v>199</v>
      </c>
      <c r="F600" s="2" t="n">
        <v>782</v>
      </c>
      <c r="G600" s="2" t="n">
        <v>822</v>
      </c>
      <c r="H600" s="2" t="n">
        <v>2525</v>
      </c>
      <c r="I600" s="2" t="n">
        <v>521</v>
      </c>
      <c r="J600" s="2" t="n">
        <v>541</v>
      </c>
      <c r="K600" s="2" t="n">
        <v>4042</v>
      </c>
      <c r="L600" s="2" t="n">
        <v>325</v>
      </c>
      <c r="M600" s="2" t="n">
        <v>134</v>
      </c>
      <c r="N600" s="2" t="n">
        <v>949</v>
      </c>
      <c r="O600" s="2" t="n">
        <v>1913</v>
      </c>
      <c r="Q600" s="2" t="n">
        <f aca="false">F600+G600+H600</f>
        <v>4129</v>
      </c>
    </row>
    <row r="601" customFormat="false" ht="12.8" hidden="false" customHeight="false" outlineLevel="0" collapsed="false">
      <c r="A601" s="2" t="s">
        <v>232</v>
      </c>
      <c r="B601" s="2" t="s">
        <v>264</v>
      </c>
      <c r="C601" s="2" t="s">
        <v>220</v>
      </c>
      <c r="D601" s="2" t="n">
        <v>2605</v>
      </c>
      <c r="E601" s="2" t="n">
        <v>189</v>
      </c>
      <c r="F601" s="2" t="n">
        <v>798</v>
      </c>
      <c r="G601" s="2" t="n">
        <v>766</v>
      </c>
      <c r="H601" s="2" t="n">
        <v>2345</v>
      </c>
      <c r="I601" s="2" t="n">
        <v>502</v>
      </c>
      <c r="J601" s="2" t="n">
        <v>468</v>
      </c>
      <c r="K601" s="2" t="n">
        <v>3787</v>
      </c>
      <c r="L601" s="2" t="n">
        <v>325</v>
      </c>
      <c r="M601" s="2" t="n">
        <v>113</v>
      </c>
      <c r="N601" s="2" t="n">
        <v>926</v>
      </c>
      <c r="O601" s="2" t="n">
        <v>1702</v>
      </c>
      <c r="Q601" s="2" t="n">
        <f aca="false">F601+G601+H601</f>
        <v>3909</v>
      </c>
    </row>
    <row r="602" customFormat="false" ht="12.8" hidden="false" customHeight="false" outlineLevel="0" collapsed="false">
      <c r="A602" s="2" t="s">
        <v>232</v>
      </c>
      <c r="B602" s="2" t="s">
        <v>264</v>
      </c>
      <c r="C602" s="2" t="s">
        <v>221</v>
      </c>
      <c r="D602" s="2" t="n">
        <v>2402</v>
      </c>
      <c r="E602" s="2" t="n">
        <v>167</v>
      </c>
      <c r="F602" s="2" t="n">
        <v>787</v>
      </c>
      <c r="G602" s="2" t="n">
        <v>892</v>
      </c>
      <c r="H602" s="2" t="n">
        <v>2158</v>
      </c>
      <c r="I602" s="2" t="n">
        <v>581</v>
      </c>
      <c r="J602" s="2" t="n">
        <v>539</v>
      </c>
      <c r="K602" s="2" t="n">
        <v>3648</v>
      </c>
      <c r="L602" s="2" t="n">
        <v>518</v>
      </c>
      <c r="M602" s="2" t="n">
        <v>92</v>
      </c>
      <c r="N602" s="2" t="n">
        <v>987</v>
      </c>
      <c r="O602" s="2" t="n">
        <v>1752</v>
      </c>
      <c r="Q602" s="2" t="n">
        <f aca="false">F602+G602+H602</f>
        <v>3837</v>
      </c>
    </row>
    <row r="603" customFormat="false" ht="12.8" hidden="false" customHeight="false" outlineLevel="0" collapsed="false">
      <c r="A603" s="2" t="s">
        <v>232</v>
      </c>
      <c r="B603" s="2" t="s">
        <v>264</v>
      </c>
      <c r="C603" s="2" t="s">
        <v>222</v>
      </c>
      <c r="D603" s="2" t="n">
        <v>2371</v>
      </c>
      <c r="E603" s="2" t="n">
        <v>163</v>
      </c>
      <c r="F603" s="2" t="n">
        <v>775</v>
      </c>
      <c r="G603" s="2" t="n">
        <v>911</v>
      </c>
      <c r="H603" s="2" t="n">
        <v>2110</v>
      </c>
      <c r="I603" s="2" t="n">
        <v>556</v>
      </c>
      <c r="J603" s="2" t="n">
        <v>606</v>
      </c>
      <c r="K603" s="2" t="n">
        <v>3551</v>
      </c>
      <c r="L603" s="2" t="n">
        <v>526</v>
      </c>
      <c r="M603" s="2" t="n">
        <v>64</v>
      </c>
      <c r="N603" s="2" t="n">
        <v>1067</v>
      </c>
      <c r="O603" s="2" t="n">
        <v>1778</v>
      </c>
      <c r="Q603" s="2" t="n">
        <f aca="false">F603+G603+H603</f>
        <v>3796</v>
      </c>
    </row>
    <row r="604" customFormat="false" ht="12.8" hidden="false" customHeight="false" outlineLevel="0" collapsed="false">
      <c r="A604" s="2" t="s">
        <v>232</v>
      </c>
      <c r="B604" s="2" t="s">
        <v>264</v>
      </c>
      <c r="C604" s="2" t="s">
        <v>223</v>
      </c>
      <c r="D604" s="2" t="n">
        <v>2029</v>
      </c>
      <c r="E604" s="2" t="n">
        <v>149</v>
      </c>
      <c r="F604" s="2" t="n">
        <v>759</v>
      </c>
      <c r="G604" s="2" t="n">
        <v>796</v>
      </c>
      <c r="H604" s="2" t="n">
        <v>1862</v>
      </c>
      <c r="I604" s="2" t="n">
        <v>571</v>
      </c>
      <c r="J604" s="2" t="n">
        <v>537</v>
      </c>
      <c r="K604" s="2" t="n">
        <v>3558</v>
      </c>
      <c r="L604" s="2" t="n">
        <v>309</v>
      </c>
      <c r="M604" s="2" t="n">
        <v>115</v>
      </c>
      <c r="N604" s="2" t="n">
        <v>1058</v>
      </c>
      <c r="O604" s="2" t="n">
        <v>1661</v>
      </c>
      <c r="Q604" s="2" t="n">
        <f aca="false">F604+G604+H604</f>
        <v>3417</v>
      </c>
    </row>
    <row r="605" customFormat="false" ht="12.8" hidden="false" customHeight="false" outlineLevel="0" collapsed="false">
      <c r="A605" s="2" t="s">
        <v>232</v>
      </c>
      <c r="B605" s="2" t="s">
        <v>264</v>
      </c>
      <c r="C605" s="2" t="s">
        <v>224</v>
      </c>
      <c r="D605" s="2" t="n">
        <v>2072</v>
      </c>
      <c r="E605" s="2" t="n">
        <v>197</v>
      </c>
      <c r="F605" s="2" t="n">
        <v>848</v>
      </c>
      <c r="G605" s="2" t="n">
        <v>897</v>
      </c>
      <c r="H605" s="2" t="n">
        <v>2070</v>
      </c>
      <c r="I605" s="2" t="n">
        <v>589</v>
      </c>
      <c r="J605" s="2" t="n">
        <v>643</v>
      </c>
      <c r="K605" s="2" t="n">
        <v>3945</v>
      </c>
      <c r="L605" s="2" t="n">
        <v>416</v>
      </c>
      <c r="M605" s="2" t="n">
        <v>140</v>
      </c>
      <c r="N605" s="2" t="n">
        <v>1210</v>
      </c>
      <c r="O605" s="2" t="n">
        <v>2019</v>
      </c>
      <c r="Q605" s="2" t="n">
        <f aca="false">F605+G605+H605</f>
        <v>3815</v>
      </c>
    </row>
    <row r="606" customFormat="false" ht="12.8" hidden="false" customHeight="false" outlineLevel="0" collapsed="false">
      <c r="A606" s="2" t="s">
        <v>233</v>
      </c>
      <c r="B606" s="2" t="s">
        <v>264</v>
      </c>
      <c r="C606" s="2" t="s">
        <v>212</v>
      </c>
      <c r="D606" s="2" t="n">
        <v>1637</v>
      </c>
      <c r="E606" s="2" t="n">
        <v>81</v>
      </c>
      <c r="F606" s="2" t="n">
        <v>567</v>
      </c>
      <c r="G606" s="2" t="n">
        <v>529</v>
      </c>
      <c r="H606" s="2" t="n">
        <v>887</v>
      </c>
      <c r="I606" s="2" t="n">
        <v>656</v>
      </c>
      <c r="J606" s="2" t="n">
        <v>362</v>
      </c>
      <c r="K606" s="2" t="n">
        <v>1702</v>
      </c>
      <c r="L606" s="2" t="n">
        <v>336</v>
      </c>
      <c r="M606" s="2" t="n">
        <v>139</v>
      </c>
      <c r="N606" s="2" t="n">
        <v>1144</v>
      </c>
      <c r="O606" s="2" t="n">
        <v>1729</v>
      </c>
      <c r="Q606" s="2" t="n">
        <f aca="false">F606+G606+H606</f>
        <v>1983</v>
      </c>
    </row>
    <row r="607" customFormat="false" ht="12.8" hidden="false" customHeight="false" outlineLevel="0" collapsed="false">
      <c r="A607" s="2" t="s">
        <v>233</v>
      </c>
      <c r="B607" s="2" t="s">
        <v>264</v>
      </c>
      <c r="C607" s="2" t="s">
        <v>217</v>
      </c>
      <c r="D607" s="2" t="n">
        <v>1759</v>
      </c>
      <c r="E607" s="2" t="n">
        <v>109</v>
      </c>
      <c r="F607" s="2" t="n">
        <v>636</v>
      </c>
      <c r="G607" s="2" t="n">
        <v>771</v>
      </c>
      <c r="H607" s="2" t="n">
        <v>1034</v>
      </c>
      <c r="I607" s="2" t="n">
        <v>846</v>
      </c>
      <c r="J607" s="2" t="n">
        <v>406</v>
      </c>
      <c r="K607" s="2" t="n">
        <v>2011</v>
      </c>
      <c r="L607" s="2" t="n">
        <v>512</v>
      </c>
      <c r="M607" s="2" t="n">
        <v>170</v>
      </c>
      <c r="N607" s="2" t="n">
        <v>1472</v>
      </c>
      <c r="O607" s="2" t="n">
        <v>2191</v>
      </c>
      <c r="Q607" s="2" t="n">
        <f aca="false">F607+G607+H607</f>
        <v>2441</v>
      </c>
    </row>
    <row r="608" customFormat="false" ht="12.8" hidden="false" customHeight="false" outlineLevel="0" collapsed="false">
      <c r="A608" s="2" t="s">
        <v>233</v>
      </c>
      <c r="B608" s="2" t="s">
        <v>264</v>
      </c>
      <c r="C608" s="2" t="s">
        <v>218</v>
      </c>
      <c r="D608" s="2" t="n">
        <v>1575</v>
      </c>
      <c r="E608" s="2" t="n">
        <v>103</v>
      </c>
      <c r="F608" s="2" t="n">
        <v>603</v>
      </c>
      <c r="G608" s="2" t="n">
        <v>676</v>
      </c>
      <c r="H608" s="2" t="n">
        <v>1114</v>
      </c>
      <c r="I608" s="2" t="n">
        <v>932</v>
      </c>
      <c r="J608" s="2" t="n">
        <v>403</v>
      </c>
      <c r="K608" s="2" t="n">
        <v>2107</v>
      </c>
      <c r="L608" s="2" t="n">
        <v>338</v>
      </c>
      <c r="M608" s="2" t="n">
        <v>140</v>
      </c>
      <c r="N608" s="2" t="n">
        <v>1422</v>
      </c>
      <c r="O608" s="2" t="n">
        <v>2050</v>
      </c>
      <c r="Q608" s="2" t="n">
        <f aca="false">F608+G608+H608</f>
        <v>2393</v>
      </c>
    </row>
    <row r="609" customFormat="false" ht="12.8" hidden="false" customHeight="false" outlineLevel="0" collapsed="false">
      <c r="A609" s="2" t="s">
        <v>233</v>
      </c>
      <c r="B609" s="2" t="s">
        <v>264</v>
      </c>
      <c r="C609" s="2" t="s">
        <v>219</v>
      </c>
      <c r="D609" s="2" t="n">
        <v>1573</v>
      </c>
      <c r="E609" s="2" t="n">
        <v>122</v>
      </c>
      <c r="F609" s="2" t="n">
        <v>598</v>
      </c>
      <c r="G609" s="2" t="n">
        <v>725</v>
      </c>
      <c r="H609" s="2" t="n">
        <v>1105</v>
      </c>
      <c r="I609" s="2" t="n">
        <v>931</v>
      </c>
      <c r="J609" s="2" t="n">
        <v>385</v>
      </c>
      <c r="K609" s="2" t="n">
        <v>2095</v>
      </c>
      <c r="L609" s="2" t="n">
        <v>362</v>
      </c>
      <c r="M609" s="2" t="n">
        <v>183</v>
      </c>
      <c r="N609" s="2" t="n">
        <v>1471</v>
      </c>
      <c r="O609" s="2" t="n">
        <v>2179</v>
      </c>
      <c r="Q609" s="2" t="n">
        <f aca="false">F609+G609+H609</f>
        <v>2428</v>
      </c>
    </row>
    <row r="610" customFormat="false" ht="12.8" hidden="false" customHeight="false" outlineLevel="0" collapsed="false">
      <c r="A610" s="2" t="s">
        <v>233</v>
      </c>
      <c r="B610" s="2" t="s">
        <v>264</v>
      </c>
      <c r="C610" s="2" t="s">
        <v>220</v>
      </c>
      <c r="D610" s="2" t="n">
        <v>1410</v>
      </c>
      <c r="E610" s="2" t="n">
        <v>118</v>
      </c>
      <c r="F610" s="2" t="n">
        <v>573</v>
      </c>
      <c r="G610" s="2" t="n">
        <v>826</v>
      </c>
      <c r="H610" s="2" t="n">
        <v>930</v>
      </c>
      <c r="I610" s="2" t="n">
        <v>774</v>
      </c>
      <c r="J610" s="2" t="n">
        <v>354</v>
      </c>
      <c r="K610" s="2" t="n">
        <v>1960</v>
      </c>
      <c r="L610" s="2" t="n">
        <v>401</v>
      </c>
      <c r="M610" s="2" t="n">
        <v>155</v>
      </c>
      <c r="N610" s="2" t="n">
        <v>1535</v>
      </c>
      <c r="O610" s="2" t="n">
        <v>2039</v>
      </c>
      <c r="Q610" s="2" t="n">
        <f aca="false">F610+G610+H610</f>
        <v>2329</v>
      </c>
    </row>
    <row r="611" customFormat="false" ht="12.8" hidden="false" customHeight="false" outlineLevel="0" collapsed="false">
      <c r="A611" s="2" t="s">
        <v>233</v>
      </c>
      <c r="B611" s="2" t="s">
        <v>264</v>
      </c>
      <c r="C611" s="2" t="s">
        <v>221</v>
      </c>
      <c r="D611" s="2" t="n">
        <v>1497</v>
      </c>
      <c r="E611" s="2" t="n">
        <v>125</v>
      </c>
      <c r="F611" s="2" t="n">
        <v>648</v>
      </c>
      <c r="G611" s="2" t="n">
        <v>800</v>
      </c>
      <c r="H611" s="2" t="n">
        <v>1012</v>
      </c>
      <c r="I611" s="2" t="n">
        <v>838</v>
      </c>
      <c r="J611" s="2" t="n">
        <v>423</v>
      </c>
      <c r="K611" s="2" t="n">
        <v>2058</v>
      </c>
      <c r="L611" s="2" t="n">
        <v>429</v>
      </c>
      <c r="M611" s="2" t="n">
        <v>166</v>
      </c>
      <c r="N611" s="2" t="n">
        <v>1693</v>
      </c>
      <c r="O611" s="2" t="n">
        <v>2108</v>
      </c>
      <c r="Q611" s="2" t="n">
        <f aca="false">F611+G611+H611</f>
        <v>2460</v>
      </c>
    </row>
    <row r="612" customFormat="false" ht="12.8" hidden="false" customHeight="false" outlineLevel="0" collapsed="false">
      <c r="A612" s="2" t="s">
        <v>233</v>
      </c>
      <c r="B612" s="2" t="s">
        <v>264</v>
      </c>
      <c r="C612" s="2" t="s">
        <v>222</v>
      </c>
      <c r="D612" s="2" t="n">
        <v>1425</v>
      </c>
      <c r="E612" s="2" t="n">
        <v>116</v>
      </c>
      <c r="F612" s="2" t="n">
        <v>678</v>
      </c>
      <c r="G612" s="2" t="n">
        <v>875</v>
      </c>
      <c r="H612" s="2" t="n">
        <v>906</v>
      </c>
      <c r="I612" s="2" t="n">
        <v>833</v>
      </c>
      <c r="J612" s="2" t="n">
        <v>374</v>
      </c>
      <c r="K612" s="2" t="n">
        <v>2096</v>
      </c>
      <c r="L612" s="2" t="n">
        <v>404</v>
      </c>
      <c r="M612" s="2" t="n">
        <v>152</v>
      </c>
      <c r="N612" s="2" t="n">
        <v>1798</v>
      </c>
      <c r="O612" s="2" t="n">
        <v>1989</v>
      </c>
      <c r="Q612" s="2" t="n">
        <f aca="false">F612+G612+H612</f>
        <v>2459</v>
      </c>
    </row>
    <row r="613" customFormat="false" ht="12.8" hidden="false" customHeight="false" outlineLevel="0" collapsed="false">
      <c r="A613" s="2" t="s">
        <v>233</v>
      </c>
      <c r="B613" s="2" t="s">
        <v>264</v>
      </c>
      <c r="C613" s="2" t="s">
        <v>223</v>
      </c>
      <c r="D613" s="2" t="n">
        <v>1309</v>
      </c>
      <c r="E613" s="2" t="n">
        <v>96</v>
      </c>
      <c r="F613" s="2" t="n">
        <v>570</v>
      </c>
      <c r="G613" s="2" t="n">
        <v>942</v>
      </c>
      <c r="H613" s="2" t="n">
        <v>730</v>
      </c>
      <c r="I613" s="2" t="n">
        <v>889</v>
      </c>
      <c r="J613" s="2" t="n">
        <v>307</v>
      </c>
      <c r="K613" s="2" t="n">
        <v>1885</v>
      </c>
      <c r="L613" s="2" t="n">
        <v>461</v>
      </c>
      <c r="M613" s="2" t="n">
        <v>161</v>
      </c>
      <c r="N613" s="2" t="n">
        <v>1569</v>
      </c>
      <c r="O613" s="2" t="n">
        <v>2129</v>
      </c>
      <c r="Q613" s="2" t="n">
        <f aca="false">F613+G613+H613</f>
        <v>2242</v>
      </c>
    </row>
    <row r="614" customFormat="false" ht="12.8" hidden="false" customHeight="false" outlineLevel="0" collapsed="false">
      <c r="A614" s="2" t="s">
        <v>265</v>
      </c>
      <c r="B614" s="2" t="s">
        <v>264</v>
      </c>
      <c r="C614" s="2" t="s">
        <v>212</v>
      </c>
      <c r="D614" s="2" t="n">
        <v>671</v>
      </c>
      <c r="E614" s="2" t="n">
        <v>1</v>
      </c>
      <c r="F614" s="2" t="n">
        <v>0</v>
      </c>
      <c r="G614" s="2" t="n">
        <v>383</v>
      </c>
      <c r="H614" s="2" t="n">
        <v>438</v>
      </c>
      <c r="I614" s="2" t="n">
        <v>154</v>
      </c>
      <c r="J614" s="2" t="n">
        <v>45</v>
      </c>
      <c r="K614" s="2" t="n">
        <v>858</v>
      </c>
      <c r="L614" s="2" t="n">
        <v>0</v>
      </c>
      <c r="M614" s="2" t="n">
        <v>35</v>
      </c>
      <c r="N614" s="2" t="n">
        <v>182</v>
      </c>
      <c r="O614" s="2" t="n">
        <v>301</v>
      </c>
      <c r="Q614" s="2" t="n">
        <f aca="false">F614+G614+H614</f>
        <v>821</v>
      </c>
    </row>
    <row r="615" customFormat="false" ht="12.8" hidden="false" customHeight="false" outlineLevel="0" collapsed="false">
      <c r="A615" s="2" t="s">
        <v>265</v>
      </c>
      <c r="B615" s="2" t="s">
        <v>264</v>
      </c>
      <c r="C615" s="2" t="s">
        <v>217</v>
      </c>
      <c r="D615" s="2" t="n">
        <v>643</v>
      </c>
      <c r="E615" s="2" t="n">
        <v>1</v>
      </c>
      <c r="F615" s="2" t="n">
        <v>0</v>
      </c>
      <c r="G615" s="2" t="n">
        <v>346</v>
      </c>
      <c r="H615" s="2" t="n">
        <v>422</v>
      </c>
      <c r="I615" s="2" t="n">
        <v>130</v>
      </c>
      <c r="J615" s="2" t="n">
        <v>9</v>
      </c>
      <c r="K615" s="2" t="n">
        <v>791</v>
      </c>
      <c r="L615" s="2" t="n">
        <v>0</v>
      </c>
      <c r="M615" s="2" t="n">
        <v>46</v>
      </c>
      <c r="N615" s="2" t="n">
        <v>146</v>
      </c>
      <c r="O615" s="2" t="n">
        <v>242</v>
      </c>
      <c r="Q615" s="2" t="n">
        <f aca="false">F615+G615+H615</f>
        <v>768</v>
      </c>
    </row>
    <row r="616" customFormat="false" ht="12.8" hidden="false" customHeight="false" outlineLevel="0" collapsed="false">
      <c r="A616" s="2" t="s">
        <v>265</v>
      </c>
      <c r="B616" s="2" t="s">
        <v>264</v>
      </c>
      <c r="C616" s="2" t="s">
        <v>218</v>
      </c>
      <c r="D616" s="2" t="n">
        <v>679</v>
      </c>
      <c r="E616" s="2" t="n">
        <v>1</v>
      </c>
      <c r="F616" s="2" t="n">
        <v>0</v>
      </c>
      <c r="G616" s="2" t="n">
        <v>331</v>
      </c>
      <c r="H616" s="2" t="n">
        <v>547</v>
      </c>
      <c r="I616" s="2" t="n">
        <v>214</v>
      </c>
      <c r="J616" s="2" t="n">
        <v>73</v>
      </c>
      <c r="K616" s="2" t="n">
        <v>930</v>
      </c>
      <c r="L616" s="2" t="n">
        <v>0</v>
      </c>
      <c r="M616" s="2" t="n">
        <v>58</v>
      </c>
      <c r="N616" s="2" t="n">
        <v>257</v>
      </c>
      <c r="O616" s="2" t="n">
        <v>235</v>
      </c>
      <c r="Q616" s="2" t="n">
        <f aca="false">F616+G616+H616</f>
        <v>878</v>
      </c>
    </row>
    <row r="617" customFormat="false" ht="12.8" hidden="false" customHeight="false" outlineLevel="0" collapsed="false">
      <c r="A617" s="2" t="s">
        <v>265</v>
      </c>
      <c r="B617" s="2" t="s">
        <v>264</v>
      </c>
      <c r="C617" s="2" t="s">
        <v>219</v>
      </c>
      <c r="D617" s="2" t="n">
        <v>574</v>
      </c>
      <c r="E617" s="2" t="n">
        <v>1</v>
      </c>
      <c r="F617" s="2" t="n">
        <v>0</v>
      </c>
      <c r="G617" s="2" t="n">
        <v>296</v>
      </c>
      <c r="H617" s="2" t="n">
        <v>436</v>
      </c>
      <c r="I617" s="2" t="n">
        <v>127</v>
      </c>
      <c r="J617" s="2" t="n">
        <v>32</v>
      </c>
      <c r="K617" s="2" t="n">
        <v>756</v>
      </c>
      <c r="L617" s="2" t="n">
        <v>0</v>
      </c>
      <c r="M617" s="2" t="n">
        <v>62</v>
      </c>
      <c r="N617" s="2" t="n">
        <v>146</v>
      </c>
      <c r="O617" s="2" t="n">
        <v>240</v>
      </c>
      <c r="Q617" s="2" t="n">
        <f aca="false">F617+G617+H617</f>
        <v>732</v>
      </c>
    </row>
    <row r="618" customFormat="false" ht="12.8" hidden="false" customHeight="false" outlineLevel="0" collapsed="false">
      <c r="A618" s="2" t="s">
        <v>265</v>
      </c>
      <c r="B618" s="2" t="s">
        <v>264</v>
      </c>
      <c r="C618" s="2" t="s">
        <v>220</v>
      </c>
      <c r="D618" s="2" t="n">
        <v>631</v>
      </c>
      <c r="E618" s="2" t="n">
        <v>1</v>
      </c>
      <c r="F618" s="2" t="n">
        <v>0</v>
      </c>
      <c r="G618" s="2" t="n">
        <v>332</v>
      </c>
      <c r="H618" s="2" t="n">
        <v>466</v>
      </c>
      <c r="I618" s="2" t="n">
        <v>197</v>
      </c>
      <c r="J618" s="2" t="n">
        <v>30</v>
      </c>
      <c r="K618" s="2" t="n">
        <v>817</v>
      </c>
      <c r="L618" s="2" t="n">
        <v>0</v>
      </c>
      <c r="M618" s="2" t="n">
        <v>68</v>
      </c>
      <c r="N618" s="2" t="n">
        <v>224</v>
      </c>
      <c r="O618" s="2" t="n">
        <v>322</v>
      </c>
      <c r="Q618" s="2" t="n">
        <f aca="false">F618+G618+H618</f>
        <v>798</v>
      </c>
    </row>
    <row r="619" customFormat="false" ht="12.8" hidden="false" customHeight="false" outlineLevel="0" collapsed="false">
      <c r="A619" s="2" t="s">
        <v>265</v>
      </c>
      <c r="B619" s="2" t="s">
        <v>264</v>
      </c>
      <c r="C619" s="2" t="s">
        <v>221</v>
      </c>
      <c r="D619" s="2" t="n">
        <v>591</v>
      </c>
      <c r="E619" s="2" t="n">
        <v>1</v>
      </c>
      <c r="F619" s="2" t="n">
        <v>0</v>
      </c>
      <c r="G619" s="2" t="n">
        <v>329</v>
      </c>
      <c r="H619" s="2" t="n">
        <v>480</v>
      </c>
      <c r="I619" s="2" t="n">
        <v>169</v>
      </c>
      <c r="J619" s="2" t="n">
        <v>62</v>
      </c>
      <c r="K619" s="2" t="n">
        <v>802</v>
      </c>
      <c r="L619" s="2" t="n">
        <v>0</v>
      </c>
      <c r="M619" s="2" t="n">
        <v>99</v>
      </c>
      <c r="N619" s="2" t="n">
        <v>231</v>
      </c>
      <c r="O619" s="2" t="n">
        <v>237</v>
      </c>
      <c r="Q619" s="2" t="n">
        <f aca="false">F619+G619+H619</f>
        <v>809</v>
      </c>
    </row>
    <row r="620" customFormat="false" ht="12.8" hidden="false" customHeight="false" outlineLevel="0" collapsed="false">
      <c r="A620" s="2" t="s">
        <v>265</v>
      </c>
      <c r="B620" s="2" t="s">
        <v>264</v>
      </c>
      <c r="C620" s="2" t="s">
        <v>222</v>
      </c>
      <c r="D620" s="2" t="n">
        <v>644</v>
      </c>
      <c r="E620" s="2" t="n">
        <v>1</v>
      </c>
      <c r="F620" s="2" t="n">
        <v>0</v>
      </c>
      <c r="G620" s="2" t="n">
        <v>358</v>
      </c>
      <c r="H620" s="2" t="n">
        <v>491</v>
      </c>
      <c r="I620" s="2" t="n">
        <v>231</v>
      </c>
      <c r="J620" s="2" t="n">
        <v>65</v>
      </c>
      <c r="K620" s="2" t="n">
        <v>853</v>
      </c>
      <c r="L620" s="2" t="n">
        <v>0</v>
      </c>
      <c r="M620" s="2" t="n">
        <v>122</v>
      </c>
      <c r="N620" s="2" t="n">
        <v>271</v>
      </c>
      <c r="O620" s="2" t="n">
        <v>297</v>
      </c>
      <c r="Q620" s="2" t="n">
        <f aca="false">F620+G620+H620</f>
        <v>849</v>
      </c>
    </row>
    <row r="621" customFormat="false" ht="12.8" hidden="false" customHeight="false" outlineLevel="0" collapsed="false">
      <c r="A621" s="2" t="s">
        <v>265</v>
      </c>
      <c r="B621" s="2" t="s">
        <v>264</v>
      </c>
      <c r="C621" s="2" t="s">
        <v>223</v>
      </c>
      <c r="D621" s="2" t="n">
        <v>566</v>
      </c>
      <c r="E621" s="2" t="n">
        <v>1</v>
      </c>
      <c r="F621" s="2" t="n">
        <v>0</v>
      </c>
      <c r="G621" s="2" t="n">
        <v>289</v>
      </c>
      <c r="H621" s="2" t="n">
        <v>441</v>
      </c>
      <c r="I621" s="2" t="n">
        <v>173</v>
      </c>
      <c r="J621" s="2" t="n">
        <v>48</v>
      </c>
      <c r="K621" s="2" t="n">
        <v>773</v>
      </c>
      <c r="L621" s="2" t="n">
        <v>0</v>
      </c>
      <c r="M621" s="2" t="n">
        <v>90</v>
      </c>
      <c r="N621" s="2" t="n">
        <v>196</v>
      </c>
      <c r="O621" s="2" t="n">
        <v>195</v>
      </c>
      <c r="Q621" s="2" t="n">
        <f aca="false">F621+G621+H621</f>
        <v>730</v>
      </c>
    </row>
    <row r="622" customFormat="false" ht="12.8" hidden="false" customHeight="false" outlineLevel="0" collapsed="false">
      <c r="A622" s="2" t="s">
        <v>265</v>
      </c>
      <c r="B622" s="2" t="s">
        <v>264</v>
      </c>
      <c r="C622" s="2" t="s">
        <v>224</v>
      </c>
      <c r="D622" s="2" t="n">
        <v>581</v>
      </c>
      <c r="E622" s="2" t="n">
        <v>1</v>
      </c>
      <c r="F622" s="2" t="n">
        <v>0</v>
      </c>
      <c r="G622" s="2" t="n">
        <v>327</v>
      </c>
      <c r="H622" s="2" t="n">
        <v>445</v>
      </c>
      <c r="I622" s="2" t="n">
        <v>202</v>
      </c>
      <c r="J622" s="2" t="n">
        <v>56</v>
      </c>
      <c r="K622" s="2" t="n">
        <v>748</v>
      </c>
      <c r="L622" s="2" t="n">
        <v>0</v>
      </c>
      <c r="M622" s="2" t="n">
        <v>125</v>
      </c>
      <c r="N622" s="2" t="n">
        <v>188</v>
      </c>
      <c r="O622" s="2" t="n">
        <v>305</v>
      </c>
      <c r="Q622" s="2" t="n">
        <f aca="false">F622+G622+H622</f>
        <v>772</v>
      </c>
    </row>
    <row r="623" customFormat="false" ht="12.8" hidden="false" customHeight="false" outlineLevel="0" collapsed="false">
      <c r="A623" s="2" t="s">
        <v>234</v>
      </c>
      <c r="B623" s="2" t="s">
        <v>264</v>
      </c>
      <c r="C623" s="2" t="s">
        <v>212</v>
      </c>
      <c r="D623" s="2" t="n">
        <v>2612</v>
      </c>
      <c r="E623" s="2" t="n">
        <v>1</v>
      </c>
      <c r="F623" s="2" t="n">
        <v>253</v>
      </c>
      <c r="G623" s="2" t="n">
        <v>1720</v>
      </c>
      <c r="H623" s="2" t="n">
        <v>1307</v>
      </c>
      <c r="I623" s="2" t="n">
        <v>1177</v>
      </c>
      <c r="J623" s="2" t="n">
        <v>134</v>
      </c>
      <c r="K623" s="2" t="n">
        <v>2661</v>
      </c>
      <c r="L623" s="2" t="n">
        <v>132</v>
      </c>
      <c r="M623" s="2" t="n">
        <v>1587</v>
      </c>
      <c r="N623" s="2" t="n">
        <v>286</v>
      </c>
      <c r="O623" s="2" t="n">
        <v>2509</v>
      </c>
      <c r="Q623" s="2" t="n">
        <f aca="false">F623+G623+H623</f>
        <v>3280</v>
      </c>
    </row>
    <row r="624" customFormat="false" ht="12.8" hidden="false" customHeight="false" outlineLevel="0" collapsed="false">
      <c r="A624" s="2" t="s">
        <v>234</v>
      </c>
      <c r="B624" s="2" t="s">
        <v>264</v>
      </c>
      <c r="C624" s="2" t="s">
        <v>217</v>
      </c>
      <c r="D624" s="2" t="n">
        <v>3020</v>
      </c>
      <c r="E624" s="2" t="n">
        <v>1</v>
      </c>
      <c r="F624" s="2" t="n">
        <v>283</v>
      </c>
      <c r="G624" s="2" t="n">
        <v>1991</v>
      </c>
      <c r="H624" s="2" t="n">
        <v>1555</v>
      </c>
      <c r="I624" s="2" t="n">
        <v>1212</v>
      </c>
      <c r="J624" s="2" t="n">
        <v>218</v>
      </c>
      <c r="K624" s="2" t="n">
        <v>3152</v>
      </c>
      <c r="L624" s="2" t="n">
        <v>134</v>
      </c>
      <c r="M624" s="2" t="n">
        <v>2016</v>
      </c>
      <c r="N624" s="2" t="n">
        <v>316</v>
      </c>
      <c r="O624" s="2" t="n">
        <v>2787</v>
      </c>
      <c r="Q624" s="2" t="n">
        <f aca="false">F624+G624+H624</f>
        <v>3829</v>
      </c>
    </row>
    <row r="625" customFormat="false" ht="12.8" hidden="false" customHeight="false" outlineLevel="0" collapsed="false">
      <c r="A625" s="2" t="s">
        <v>234</v>
      </c>
      <c r="B625" s="2" t="s">
        <v>264</v>
      </c>
      <c r="C625" s="2" t="s">
        <v>218</v>
      </c>
      <c r="D625" s="2" t="n">
        <v>3099</v>
      </c>
      <c r="E625" s="2" t="n">
        <v>1</v>
      </c>
      <c r="F625" s="2" t="n">
        <v>286</v>
      </c>
      <c r="G625" s="2" t="n">
        <v>2062</v>
      </c>
      <c r="H625" s="2" t="n">
        <v>1633</v>
      </c>
      <c r="I625" s="2" t="n">
        <v>1447</v>
      </c>
      <c r="J625" s="2" t="n">
        <v>172</v>
      </c>
      <c r="K625" s="2" t="n">
        <v>3103</v>
      </c>
      <c r="L625" s="2" t="n">
        <v>277</v>
      </c>
      <c r="M625" s="2" t="n">
        <v>1997</v>
      </c>
      <c r="N625" s="2" t="n">
        <v>273</v>
      </c>
      <c r="O625" s="2" t="n">
        <v>2808</v>
      </c>
      <c r="Q625" s="2" t="n">
        <f aca="false">F625+G625+H625</f>
        <v>3981</v>
      </c>
    </row>
    <row r="626" customFormat="false" ht="12.8" hidden="false" customHeight="false" outlineLevel="0" collapsed="false">
      <c r="A626" s="2" t="s">
        <v>234</v>
      </c>
      <c r="B626" s="2" t="s">
        <v>264</v>
      </c>
      <c r="C626" s="2" t="s">
        <v>219</v>
      </c>
      <c r="D626" s="2" t="n">
        <v>3043</v>
      </c>
      <c r="E626" s="2" t="n">
        <v>1</v>
      </c>
      <c r="F626" s="2" t="n">
        <v>263</v>
      </c>
      <c r="G626" s="2" t="n">
        <v>1962</v>
      </c>
      <c r="H626" s="2" t="n">
        <v>1739</v>
      </c>
      <c r="I626" s="2" t="n">
        <v>1375</v>
      </c>
      <c r="J626" s="2" t="n">
        <v>212</v>
      </c>
      <c r="K626" s="2" t="n">
        <v>3067</v>
      </c>
      <c r="L626" s="2" t="n">
        <v>195</v>
      </c>
      <c r="M626" s="2" t="n">
        <v>2145</v>
      </c>
      <c r="N626" s="2" t="n">
        <v>246</v>
      </c>
      <c r="O626" s="2" t="n">
        <v>3014</v>
      </c>
      <c r="Q626" s="2" t="n">
        <f aca="false">F626+G626+H626</f>
        <v>3964</v>
      </c>
    </row>
    <row r="627" customFormat="false" ht="12.8" hidden="false" customHeight="false" outlineLevel="0" collapsed="false">
      <c r="A627" s="2" t="s">
        <v>234</v>
      </c>
      <c r="B627" s="2" t="s">
        <v>264</v>
      </c>
      <c r="C627" s="2" t="s">
        <v>220</v>
      </c>
      <c r="D627" s="2" t="n">
        <v>3137</v>
      </c>
      <c r="E627" s="2" t="n">
        <v>1</v>
      </c>
      <c r="F627" s="2" t="n">
        <v>240</v>
      </c>
      <c r="G627" s="2" t="n">
        <v>2044</v>
      </c>
      <c r="H627" s="2" t="n">
        <v>1717</v>
      </c>
      <c r="I627" s="2" t="n">
        <v>1407</v>
      </c>
      <c r="J627" s="2" t="n">
        <v>109</v>
      </c>
      <c r="K627" s="2" t="n">
        <v>3248</v>
      </c>
      <c r="L627" s="2" t="n">
        <v>110</v>
      </c>
      <c r="M627" s="2" t="n">
        <v>2233</v>
      </c>
      <c r="N627" s="2" t="n">
        <v>229</v>
      </c>
      <c r="O627" s="2" t="n">
        <v>2939</v>
      </c>
      <c r="Q627" s="2" t="n">
        <f aca="false">F627+G627+H627</f>
        <v>4001</v>
      </c>
    </row>
    <row r="628" customFormat="false" ht="12.8" hidden="false" customHeight="false" outlineLevel="0" collapsed="false">
      <c r="A628" s="2" t="s">
        <v>234</v>
      </c>
      <c r="B628" s="2" t="s">
        <v>264</v>
      </c>
      <c r="C628" s="2" t="s">
        <v>221</v>
      </c>
      <c r="D628" s="2" t="n">
        <v>2983</v>
      </c>
      <c r="E628" s="2" t="n">
        <v>1</v>
      </c>
      <c r="F628" s="2" t="n">
        <v>257</v>
      </c>
      <c r="G628" s="2" t="n">
        <v>1977</v>
      </c>
      <c r="H628" s="2" t="n">
        <v>1717</v>
      </c>
      <c r="I628" s="2" t="n">
        <v>1371</v>
      </c>
      <c r="J628" s="2" t="n">
        <v>252</v>
      </c>
      <c r="K628" s="2" t="n">
        <v>3101</v>
      </c>
      <c r="L628" s="2" t="n">
        <v>229</v>
      </c>
      <c r="M628" s="2" t="n">
        <v>1914</v>
      </c>
      <c r="N628" s="2" t="n">
        <v>322</v>
      </c>
      <c r="O628" s="2" t="n">
        <v>2885</v>
      </c>
      <c r="Q628" s="2" t="n">
        <f aca="false">F628+G628+H628</f>
        <v>3951</v>
      </c>
    </row>
    <row r="629" customFormat="false" ht="12.8" hidden="false" customHeight="false" outlineLevel="0" collapsed="false">
      <c r="A629" s="2" t="s">
        <v>234</v>
      </c>
      <c r="B629" s="2" t="s">
        <v>264</v>
      </c>
      <c r="C629" s="2" t="s">
        <v>222</v>
      </c>
      <c r="D629" s="2" t="n">
        <v>2913</v>
      </c>
      <c r="E629" s="2" t="n">
        <v>1</v>
      </c>
      <c r="F629" s="2" t="n">
        <v>286</v>
      </c>
      <c r="G629" s="2" t="n">
        <v>1934</v>
      </c>
      <c r="H629" s="2" t="n">
        <v>1688</v>
      </c>
      <c r="I629" s="2" t="n">
        <v>1220</v>
      </c>
      <c r="J629" s="2" t="n">
        <v>351</v>
      </c>
      <c r="K629" s="2" t="n">
        <v>2831</v>
      </c>
      <c r="L629" s="2" t="n">
        <v>174</v>
      </c>
      <c r="M629" s="2" t="n">
        <v>2108</v>
      </c>
      <c r="N629" s="2" t="n">
        <v>317</v>
      </c>
      <c r="O629" s="2" t="n">
        <v>2795</v>
      </c>
      <c r="Q629" s="2" t="n">
        <f aca="false">F629+G629+H629</f>
        <v>3908</v>
      </c>
    </row>
    <row r="630" customFormat="false" ht="12.8" hidden="false" customHeight="false" outlineLevel="0" collapsed="false">
      <c r="A630" s="2" t="s">
        <v>234</v>
      </c>
      <c r="B630" s="2" t="s">
        <v>264</v>
      </c>
      <c r="C630" s="2" t="s">
        <v>223</v>
      </c>
      <c r="D630" s="2" t="n">
        <v>2757</v>
      </c>
      <c r="E630" s="2" t="n">
        <v>1</v>
      </c>
      <c r="F630" s="2" t="n">
        <v>254</v>
      </c>
      <c r="G630" s="2" t="n">
        <v>1835</v>
      </c>
      <c r="H630" s="2" t="n">
        <v>1580</v>
      </c>
      <c r="I630" s="2" t="n">
        <v>1187</v>
      </c>
      <c r="J630" s="2" t="n">
        <v>326</v>
      </c>
      <c r="K630" s="2" t="n">
        <v>2806</v>
      </c>
      <c r="L630" s="2" t="n">
        <v>147</v>
      </c>
      <c r="M630" s="2" t="n">
        <v>1861</v>
      </c>
      <c r="N630" s="2" t="n">
        <v>341</v>
      </c>
      <c r="O630" s="2" t="n">
        <v>2586</v>
      </c>
      <c r="Q630" s="2" t="n">
        <f aca="false">F630+G630+H630</f>
        <v>3669</v>
      </c>
    </row>
    <row r="631" customFormat="false" ht="12.8" hidden="false" customHeight="false" outlineLevel="0" collapsed="false">
      <c r="A631" s="2" t="s">
        <v>234</v>
      </c>
      <c r="B631" s="2" t="s">
        <v>264</v>
      </c>
      <c r="C631" s="2" t="s">
        <v>224</v>
      </c>
      <c r="D631" s="2" t="n">
        <v>2841</v>
      </c>
      <c r="E631" s="2" t="n">
        <v>1</v>
      </c>
      <c r="F631" s="2" t="n">
        <v>275</v>
      </c>
      <c r="G631" s="2" t="n">
        <v>1855</v>
      </c>
      <c r="H631" s="2" t="n">
        <v>1608</v>
      </c>
      <c r="I631" s="2" t="n">
        <v>1604</v>
      </c>
      <c r="J631" s="2" t="n">
        <v>195</v>
      </c>
      <c r="K631" s="2" t="n">
        <v>2786</v>
      </c>
      <c r="L631" s="2" t="n">
        <v>175</v>
      </c>
      <c r="M631" s="2" t="n">
        <v>1754</v>
      </c>
      <c r="N631" s="2" t="n">
        <v>253</v>
      </c>
      <c r="O631" s="2" t="n">
        <v>2630</v>
      </c>
      <c r="Q631" s="2" t="n">
        <f aca="false">F631+G631+H631</f>
        <v>3738</v>
      </c>
    </row>
    <row r="632" customFormat="false" ht="12.8" hidden="false" customHeight="false" outlineLevel="0" collapsed="false">
      <c r="A632" s="2" t="s">
        <v>235</v>
      </c>
      <c r="B632" s="2" t="s">
        <v>264</v>
      </c>
      <c r="C632" s="2" t="s">
        <v>212</v>
      </c>
      <c r="D632" s="2" t="n">
        <v>1612</v>
      </c>
      <c r="E632" s="2" t="n">
        <v>1</v>
      </c>
      <c r="F632" s="2" t="n">
        <v>475</v>
      </c>
      <c r="G632" s="2" t="n">
        <v>843</v>
      </c>
      <c r="H632" s="2" t="n">
        <v>669</v>
      </c>
      <c r="I632" s="2" t="n">
        <v>763</v>
      </c>
      <c r="J632" s="2" t="n">
        <v>214</v>
      </c>
      <c r="K632" s="2" t="n">
        <v>1619</v>
      </c>
      <c r="L632" s="2" t="n">
        <v>0</v>
      </c>
      <c r="M632" s="2" t="n">
        <v>409</v>
      </c>
      <c r="N632" s="2" t="n">
        <v>110</v>
      </c>
      <c r="O632" s="2" t="n">
        <v>933</v>
      </c>
      <c r="Q632" s="2" t="n">
        <f aca="false">F632+G632+H632</f>
        <v>1987</v>
      </c>
    </row>
    <row r="633" customFormat="false" ht="12.8" hidden="false" customHeight="false" outlineLevel="0" collapsed="false">
      <c r="A633" s="2" t="s">
        <v>235</v>
      </c>
      <c r="B633" s="2" t="s">
        <v>264</v>
      </c>
      <c r="C633" s="2" t="s">
        <v>217</v>
      </c>
      <c r="D633" s="2" t="n">
        <v>1813</v>
      </c>
      <c r="E633" s="2" t="n">
        <v>1</v>
      </c>
      <c r="F633" s="2" t="n">
        <v>643</v>
      </c>
      <c r="G633" s="2" t="n">
        <v>944</v>
      </c>
      <c r="H633" s="2" t="n">
        <v>735</v>
      </c>
      <c r="I633" s="2" t="n">
        <v>852</v>
      </c>
      <c r="J633" s="2" t="n">
        <v>340</v>
      </c>
      <c r="K633" s="2" t="n">
        <v>1813</v>
      </c>
      <c r="L633" s="2" t="n">
        <v>0</v>
      </c>
      <c r="M633" s="2" t="n">
        <v>482</v>
      </c>
      <c r="N633" s="2" t="n">
        <v>126</v>
      </c>
      <c r="O633" s="2" t="n">
        <v>1044</v>
      </c>
      <c r="Q633" s="2" t="n">
        <f aca="false">F633+G633+H633</f>
        <v>2322</v>
      </c>
    </row>
    <row r="634" customFormat="false" ht="12.8" hidden="false" customHeight="false" outlineLevel="0" collapsed="false">
      <c r="A634" s="2" t="s">
        <v>235</v>
      </c>
      <c r="B634" s="2" t="s">
        <v>264</v>
      </c>
      <c r="C634" s="2" t="s">
        <v>218</v>
      </c>
      <c r="D634" s="2" t="n">
        <v>1844</v>
      </c>
      <c r="E634" s="2" t="n">
        <v>1</v>
      </c>
      <c r="F634" s="2" t="n">
        <v>690</v>
      </c>
      <c r="G634" s="2" t="n">
        <v>983</v>
      </c>
      <c r="H634" s="2" t="n">
        <v>759</v>
      </c>
      <c r="I634" s="2" t="n">
        <v>620</v>
      </c>
      <c r="J634" s="2" t="n">
        <v>417</v>
      </c>
      <c r="K634" s="2" t="n">
        <v>1879</v>
      </c>
      <c r="L634" s="2" t="n">
        <v>0</v>
      </c>
      <c r="M634" s="2" t="n">
        <v>406</v>
      </c>
      <c r="N634" s="2" t="n">
        <v>141</v>
      </c>
      <c r="O634" s="2" t="n">
        <v>854</v>
      </c>
      <c r="Q634" s="2" t="n">
        <f aca="false">F634+G634+H634</f>
        <v>2432</v>
      </c>
    </row>
    <row r="635" customFormat="false" ht="12.8" hidden="false" customHeight="false" outlineLevel="0" collapsed="false">
      <c r="A635" s="2" t="s">
        <v>235</v>
      </c>
      <c r="B635" s="2" t="s">
        <v>264</v>
      </c>
      <c r="C635" s="2" t="s">
        <v>219</v>
      </c>
      <c r="D635" s="2" t="n">
        <v>1698</v>
      </c>
      <c r="E635" s="2" t="n">
        <v>1</v>
      </c>
      <c r="F635" s="2" t="n">
        <v>519</v>
      </c>
      <c r="G635" s="2" t="n">
        <v>915</v>
      </c>
      <c r="H635" s="2" t="n">
        <v>768</v>
      </c>
      <c r="I635" s="2" t="n">
        <v>621</v>
      </c>
      <c r="J635" s="2" t="n">
        <v>281</v>
      </c>
      <c r="K635" s="2" t="n">
        <v>1821</v>
      </c>
      <c r="L635" s="2" t="n">
        <v>0</v>
      </c>
      <c r="M635" s="2" t="n">
        <v>371</v>
      </c>
      <c r="N635" s="2" t="n">
        <v>102</v>
      </c>
      <c r="O635" s="2" t="n">
        <v>910</v>
      </c>
      <c r="Q635" s="2" t="n">
        <f aca="false">F635+G635+H635</f>
        <v>2202</v>
      </c>
    </row>
    <row r="636" customFormat="false" ht="12.8" hidden="false" customHeight="false" outlineLevel="0" collapsed="false">
      <c r="A636" s="2" t="s">
        <v>235</v>
      </c>
      <c r="B636" s="2" t="s">
        <v>264</v>
      </c>
      <c r="C636" s="2" t="s">
        <v>220</v>
      </c>
      <c r="D636" s="2" t="n">
        <v>1757</v>
      </c>
      <c r="E636" s="2" t="n">
        <v>1</v>
      </c>
      <c r="F636" s="2" t="n">
        <v>534</v>
      </c>
      <c r="G636" s="2" t="n">
        <v>935</v>
      </c>
      <c r="H636" s="2" t="n">
        <v>759</v>
      </c>
      <c r="I636" s="2" t="n">
        <v>627</v>
      </c>
      <c r="J636" s="2" t="n">
        <v>327</v>
      </c>
      <c r="K636" s="2" t="n">
        <v>1785</v>
      </c>
      <c r="L636" s="2" t="n">
        <v>0</v>
      </c>
      <c r="M636" s="2" t="n">
        <v>366</v>
      </c>
      <c r="N636" s="2" t="n">
        <v>77</v>
      </c>
      <c r="O636" s="2" t="n">
        <v>964</v>
      </c>
      <c r="Q636" s="2" t="n">
        <f aca="false">F636+G636+H636</f>
        <v>2228</v>
      </c>
    </row>
    <row r="637" customFormat="false" ht="12.8" hidden="false" customHeight="false" outlineLevel="0" collapsed="false">
      <c r="A637" s="2" t="s">
        <v>235</v>
      </c>
      <c r="B637" s="2" t="s">
        <v>264</v>
      </c>
      <c r="C637" s="2" t="s">
        <v>221</v>
      </c>
      <c r="D637" s="2" t="n">
        <v>1820</v>
      </c>
      <c r="E637" s="2" t="n">
        <v>1</v>
      </c>
      <c r="F637" s="2" t="n">
        <v>553</v>
      </c>
      <c r="G637" s="2" t="n">
        <v>972</v>
      </c>
      <c r="H637" s="2" t="n">
        <v>790</v>
      </c>
      <c r="I637" s="2" t="n">
        <v>548</v>
      </c>
      <c r="J637" s="2" t="n">
        <v>328</v>
      </c>
      <c r="K637" s="2" t="n">
        <v>1881</v>
      </c>
      <c r="L637" s="2" t="n">
        <v>0</v>
      </c>
      <c r="M637" s="2" t="n">
        <v>394</v>
      </c>
      <c r="N637" s="2" t="n">
        <v>112</v>
      </c>
      <c r="O637" s="2" t="n">
        <v>899</v>
      </c>
      <c r="Q637" s="2" t="n">
        <f aca="false">F637+G637+H637</f>
        <v>2315</v>
      </c>
    </row>
    <row r="638" customFormat="false" ht="12.8" hidden="false" customHeight="false" outlineLevel="0" collapsed="false">
      <c r="A638" s="2" t="s">
        <v>235</v>
      </c>
      <c r="B638" s="2" t="s">
        <v>264</v>
      </c>
      <c r="C638" s="2" t="s">
        <v>222</v>
      </c>
      <c r="D638" s="2" t="n">
        <v>1844</v>
      </c>
      <c r="E638" s="2" t="n">
        <v>1</v>
      </c>
      <c r="F638" s="2" t="n">
        <v>474</v>
      </c>
      <c r="G638" s="2" t="n">
        <v>984</v>
      </c>
      <c r="H638" s="2" t="n">
        <v>841</v>
      </c>
      <c r="I638" s="2" t="n">
        <v>695</v>
      </c>
      <c r="J638" s="2" t="n">
        <v>313</v>
      </c>
      <c r="K638" s="2" t="n">
        <v>1979</v>
      </c>
      <c r="L638" s="2" t="n">
        <v>0</v>
      </c>
      <c r="M638" s="2" t="n">
        <v>472</v>
      </c>
      <c r="N638" s="2" t="n">
        <v>94</v>
      </c>
      <c r="O638" s="2" t="n">
        <v>1110</v>
      </c>
      <c r="Q638" s="2" t="n">
        <f aca="false">F638+G638+H638</f>
        <v>2299</v>
      </c>
    </row>
    <row r="639" customFormat="false" ht="12.8" hidden="false" customHeight="false" outlineLevel="0" collapsed="false">
      <c r="A639" s="2" t="s">
        <v>235</v>
      </c>
      <c r="B639" s="2" t="s">
        <v>264</v>
      </c>
      <c r="C639" s="2" t="s">
        <v>223</v>
      </c>
      <c r="D639" s="2" t="n">
        <v>1835</v>
      </c>
      <c r="E639" s="2" t="n">
        <v>1</v>
      </c>
      <c r="F639" s="2" t="n">
        <v>547</v>
      </c>
      <c r="G639" s="2" t="n">
        <v>984</v>
      </c>
      <c r="H639" s="2" t="n">
        <v>793</v>
      </c>
      <c r="I639" s="2" t="n">
        <v>743</v>
      </c>
      <c r="J639" s="2" t="n">
        <v>436</v>
      </c>
      <c r="K639" s="2" t="n">
        <v>1929</v>
      </c>
      <c r="L639" s="2" t="n">
        <v>0</v>
      </c>
      <c r="M639" s="2" t="n">
        <v>588</v>
      </c>
      <c r="N639" s="2" t="n">
        <v>174</v>
      </c>
      <c r="O639" s="2" t="n">
        <v>1176</v>
      </c>
      <c r="Q639" s="2" t="n">
        <f aca="false">F639+G639+H639</f>
        <v>2324</v>
      </c>
    </row>
    <row r="640" customFormat="false" ht="12.8" hidden="false" customHeight="false" outlineLevel="0" collapsed="false">
      <c r="A640" s="2" t="s">
        <v>235</v>
      </c>
      <c r="B640" s="2" t="s">
        <v>264</v>
      </c>
      <c r="C640" s="2" t="s">
        <v>224</v>
      </c>
      <c r="D640" s="2" t="n">
        <v>2088</v>
      </c>
      <c r="E640" s="2" t="n">
        <v>1</v>
      </c>
      <c r="F640" s="2" t="n">
        <v>742</v>
      </c>
      <c r="G640" s="2" t="n">
        <v>1166</v>
      </c>
      <c r="H640" s="2" t="n">
        <v>792</v>
      </c>
      <c r="I640" s="2" t="n">
        <v>809</v>
      </c>
      <c r="J640" s="2" t="n">
        <v>517</v>
      </c>
      <c r="K640" s="2" t="n">
        <v>2038</v>
      </c>
      <c r="L640" s="2" t="n">
        <v>0</v>
      </c>
      <c r="M640" s="2" t="n">
        <v>747</v>
      </c>
      <c r="N640" s="2" t="n">
        <v>182</v>
      </c>
      <c r="O640" s="2" t="n">
        <v>1475</v>
      </c>
      <c r="Q640" s="2" t="n">
        <f aca="false">F640+G640+H640</f>
        <v>2700</v>
      </c>
    </row>
    <row r="641" customFormat="false" ht="12.8" hidden="false" customHeight="false" outlineLevel="0" collapsed="false">
      <c r="A641" s="2" t="s">
        <v>236</v>
      </c>
      <c r="B641" s="2" t="s">
        <v>264</v>
      </c>
      <c r="C641" s="2" t="s">
        <v>212</v>
      </c>
      <c r="D641" s="2" t="n">
        <v>1481</v>
      </c>
      <c r="E641" s="2" t="n">
        <v>1</v>
      </c>
      <c r="F641" s="2" t="n">
        <v>591</v>
      </c>
      <c r="G641" s="2" t="n">
        <v>906</v>
      </c>
      <c r="H641" s="2" t="n">
        <v>398</v>
      </c>
      <c r="I641" s="2" t="n">
        <v>278</v>
      </c>
      <c r="J641" s="2" t="n">
        <v>441</v>
      </c>
      <c r="K641" s="2" t="n">
        <v>1510</v>
      </c>
      <c r="L641" s="2" t="n">
        <v>0</v>
      </c>
      <c r="M641" s="2" t="n">
        <v>690</v>
      </c>
      <c r="N641" s="2" t="n">
        <v>421</v>
      </c>
      <c r="O641" s="2" t="n">
        <v>1059</v>
      </c>
      <c r="Q641" s="2" t="n">
        <f aca="false">F641+G641+H641</f>
        <v>1895</v>
      </c>
    </row>
    <row r="642" customFormat="false" ht="12.8" hidden="false" customHeight="false" outlineLevel="0" collapsed="false">
      <c r="A642" s="2" t="s">
        <v>236</v>
      </c>
      <c r="B642" s="2" t="s">
        <v>264</v>
      </c>
      <c r="C642" s="2" t="s">
        <v>217</v>
      </c>
      <c r="D642" s="2" t="n">
        <v>1579</v>
      </c>
      <c r="E642" s="2" t="n">
        <v>1</v>
      </c>
      <c r="F642" s="2" t="n">
        <v>674</v>
      </c>
      <c r="G642" s="2" t="n">
        <v>1020</v>
      </c>
      <c r="H642" s="2" t="n">
        <v>430</v>
      </c>
      <c r="I642" s="2" t="n">
        <v>256</v>
      </c>
      <c r="J642" s="2" t="n">
        <v>355</v>
      </c>
      <c r="K642" s="2" t="n">
        <v>1738</v>
      </c>
      <c r="L642" s="2" t="n">
        <v>0</v>
      </c>
      <c r="M642" s="2" t="n">
        <v>905</v>
      </c>
      <c r="N642" s="2" t="n">
        <v>452</v>
      </c>
      <c r="O642" s="2" t="n">
        <v>1274</v>
      </c>
      <c r="Q642" s="2" t="n">
        <f aca="false">F642+G642+H642</f>
        <v>2124</v>
      </c>
    </row>
    <row r="643" customFormat="false" ht="12.8" hidden="false" customHeight="false" outlineLevel="0" collapsed="false">
      <c r="A643" s="2" t="s">
        <v>236</v>
      </c>
      <c r="B643" s="2" t="s">
        <v>264</v>
      </c>
      <c r="C643" s="2" t="s">
        <v>218</v>
      </c>
      <c r="D643" s="2" t="n">
        <v>1609</v>
      </c>
      <c r="E643" s="2" t="n">
        <v>1</v>
      </c>
      <c r="F643" s="2" t="n">
        <v>733</v>
      </c>
      <c r="G643" s="2" t="n">
        <v>969</v>
      </c>
      <c r="H643" s="2" t="n">
        <v>455</v>
      </c>
      <c r="I643" s="2" t="n">
        <v>309</v>
      </c>
      <c r="J643" s="2" t="n">
        <v>431</v>
      </c>
      <c r="K643" s="2" t="n">
        <v>1692</v>
      </c>
      <c r="L643" s="2" t="n">
        <v>0</v>
      </c>
      <c r="M643" s="2" t="n">
        <v>893</v>
      </c>
      <c r="N643" s="2" t="n">
        <v>402</v>
      </c>
      <c r="O643" s="2" t="n">
        <v>972</v>
      </c>
      <c r="Q643" s="2" t="n">
        <f aca="false">F643+G643+H643</f>
        <v>2157</v>
      </c>
    </row>
    <row r="644" customFormat="false" ht="12.8" hidden="false" customHeight="false" outlineLevel="0" collapsed="false">
      <c r="A644" s="2" t="s">
        <v>236</v>
      </c>
      <c r="B644" s="2" t="s">
        <v>264</v>
      </c>
      <c r="C644" s="2" t="s">
        <v>219</v>
      </c>
      <c r="D644" s="2" t="n">
        <v>1512</v>
      </c>
      <c r="E644" s="2" t="n">
        <v>1</v>
      </c>
      <c r="F644" s="2" t="n">
        <v>538</v>
      </c>
      <c r="G644" s="2" t="n">
        <v>952</v>
      </c>
      <c r="H644" s="2" t="n">
        <v>444</v>
      </c>
      <c r="I644" s="2" t="n">
        <v>334</v>
      </c>
      <c r="J644" s="2" t="n">
        <v>313</v>
      </c>
      <c r="K644" s="2" t="n">
        <v>1568</v>
      </c>
      <c r="L644" s="2" t="n">
        <v>0</v>
      </c>
      <c r="M644" s="2" t="n">
        <v>845</v>
      </c>
      <c r="N644" s="2" t="n">
        <v>349</v>
      </c>
      <c r="O644" s="2" t="n">
        <v>1059</v>
      </c>
      <c r="Q644" s="2" t="n">
        <f aca="false">F644+G644+H644</f>
        <v>1934</v>
      </c>
    </row>
    <row r="645" customFormat="false" ht="12.8" hidden="false" customHeight="false" outlineLevel="0" collapsed="false">
      <c r="A645" s="2" t="s">
        <v>236</v>
      </c>
      <c r="B645" s="2" t="s">
        <v>264</v>
      </c>
      <c r="C645" s="2" t="s">
        <v>220</v>
      </c>
      <c r="D645" s="2" t="n">
        <v>1501</v>
      </c>
      <c r="E645" s="2" t="n">
        <v>1</v>
      </c>
      <c r="F645" s="2" t="n">
        <v>534</v>
      </c>
      <c r="G645" s="2" t="n">
        <v>954</v>
      </c>
      <c r="H645" s="2" t="n">
        <v>472</v>
      </c>
      <c r="I645" s="2" t="n">
        <v>311</v>
      </c>
      <c r="J645" s="2" t="n">
        <v>352</v>
      </c>
      <c r="K645" s="2" t="n">
        <v>1615</v>
      </c>
      <c r="L645" s="2" t="n">
        <v>0</v>
      </c>
      <c r="M645" s="2" t="n">
        <v>738</v>
      </c>
      <c r="N645" s="2" t="n">
        <v>338</v>
      </c>
      <c r="O645" s="2" t="n">
        <v>943</v>
      </c>
      <c r="Q645" s="2" t="n">
        <f aca="false">F645+G645+H645</f>
        <v>1960</v>
      </c>
    </row>
    <row r="646" customFormat="false" ht="12.8" hidden="false" customHeight="false" outlineLevel="0" collapsed="false">
      <c r="A646" s="2" t="s">
        <v>236</v>
      </c>
      <c r="B646" s="2" t="s">
        <v>264</v>
      </c>
      <c r="C646" s="2" t="s">
        <v>221</v>
      </c>
      <c r="D646" s="2" t="n">
        <v>1482</v>
      </c>
      <c r="E646" s="2" t="n">
        <v>1</v>
      </c>
      <c r="F646" s="2" t="n">
        <v>545</v>
      </c>
      <c r="G646" s="2" t="n">
        <v>950</v>
      </c>
      <c r="H646" s="2" t="n">
        <v>448</v>
      </c>
      <c r="I646" s="2" t="n">
        <v>228</v>
      </c>
      <c r="J646" s="2" t="n">
        <v>369</v>
      </c>
      <c r="K646" s="2" t="n">
        <v>1633</v>
      </c>
      <c r="L646" s="2" t="n">
        <v>0</v>
      </c>
      <c r="M646" s="2" t="n">
        <v>763</v>
      </c>
      <c r="N646" s="2" t="n">
        <v>411</v>
      </c>
      <c r="O646" s="2" t="n">
        <v>1048</v>
      </c>
      <c r="Q646" s="2" t="n">
        <f aca="false">F646+G646+H646</f>
        <v>1943</v>
      </c>
    </row>
    <row r="647" customFormat="false" ht="12.8" hidden="false" customHeight="false" outlineLevel="0" collapsed="false">
      <c r="A647" s="2" t="s">
        <v>236</v>
      </c>
      <c r="B647" s="2" t="s">
        <v>264</v>
      </c>
      <c r="C647" s="2" t="s">
        <v>222</v>
      </c>
      <c r="D647" s="2" t="n">
        <v>1508</v>
      </c>
      <c r="E647" s="2" t="n">
        <v>1</v>
      </c>
      <c r="F647" s="2" t="n">
        <v>498</v>
      </c>
      <c r="G647" s="2" t="n">
        <v>1009</v>
      </c>
      <c r="H647" s="2" t="n">
        <v>452</v>
      </c>
      <c r="I647" s="2" t="n">
        <v>302</v>
      </c>
      <c r="J647" s="2" t="n">
        <v>371</v>
      </c>
      <c r="K647" s="2" t="n">
        <v>1619</v>
      </c>
      <c r="L647" s="2" t="n">
        <v>0</v>
      </c>
      <c r="M647" s="2" t="n">
        <v>817</v>
      </c>
      <c r="N647" s="2" t="n">
        <v>394</v>
      </c>
      <c r="O647" s="2" t="n">
        <v>1178</v>
      </c>
      <c r="Q647" s="2" t="n">
        <f aca="false">F647+G647+H647</f>
        <v>1959</v>
      </c>
    </row>
    <row r="648" customFormat="false" ht="12.8" hidden="false" customHeight="false" outlineLevel="0" collapsed="false">
      <c r="A648" s="2" t="s">
        <v>236</v>
      </c>
      <c r="B648" s="2" t="s">
        <v>264</v>
      </c>
      <c r="C648" s="2" t="s">
        <v>223</v>
      </c>
      <c r="D648" s="2" t="n">
        <v>1412</v>
      </c>
      <c r="E648" s="2" t="n">
        <v>1</v>
      </c>
      <c r="F648" s="2" t="n">
        <v>593</v>
      </c>
      <c r="G648" s="2" t="n">
        <v>861</v>
      </c>
      <c r="H648" s="2" t="n">
        <v>449</v>
      </c>
      <c r="I648" s="2" t="n">
        <v>350</v>
      </c>
      <c r="J648" s="2" t="n">
        <v>252</v>
      </c>
      <c r="K648" s="2" t="n">
        <v>1519</v>
      </c>
      <c r="L648" s="2" t="n">
        <v>0</v>
      </c>
      <c r="M648" s="2" t="n">
        <v>797</v>
      </c>
      <c r="N648" s="2" t="n">
        <v>442</v>
      </c>
      <c r="O648" s="2" t="n">
        <v>941</v>
      </c>
      <c r="Q648" s="2" t="n">
        <f aca="false">F648+G648+H648</f>
        <v>1903</v>
      </c>
    </row>
    <row r="649" customFormat="false" ht="12.8" hidden="false" customHeight="false" outlineLevel="0" collapsed="false">
      <c r="A649" s="2" t="s">
        <v>236</v>
      </c>
      <c r="B649" s="2" t="s">
        <v>264</v>
      </c>
      <c r="C649" s="2" t="s">
        <v>224</v>
      </c>
      <c r="D649" s="2" t="n">
        <v>1480</v>
      </c>
      <c r="E649" s="2" t="n">
        <v>1</v>
      </c>
      <c r="F649" s="2" t="n">
        <v>549</v>
      </c>
      <c r="G649" s="2" t="n">
        <v>926</v>
      </c>
      <c r="H649" s="2" t="n">
        <v>484</v>
      </c>
      <c r="I649" s="2" t="n">
        <v>336</v>
      </c>
      <c r="J649" s="2" t="n">
        <v>370</v>
      </c>
      <c r="K649" s="2" t="n">
        <v>1582</v>
      </c>
      <c r="L649" s="2" t="n">
        <v>0</v>
      </c>
      <c r="M649" s="2" t="n">
        <v>768</v>
      </c>
      <c r="N649" s="2" t="n">
        <v>432</v>
      </c>
      <c r="O649" s="2" t="n">
        <v>1092</v>
      </c>
      <c r="Q649" s="2" t="n">
        <f aca="false">F649+G649+H649</f>
        <v>1959</v>
      </c>
    </row>
    <row r="650" customFormat="false" ht="12.8" hidden="false" customHeight="false" outlineLevel="0" collapsed="false">
      <c r="A650" s="2" t="s">
        <v>237</v>
      </c>
      <c r="B650" s="2" t="s">
        <v>264</v>
      </c>
      <c r="C650" s="2" t="s">
        <v>212</v>
      </c>
      <c r="D650" s="2" t="n">
        <v>863</v>
      </c>
      <c r="E650" s="2" t="n">
        <v>1</v>
      </c>
      <c r="F650" s="2" t="n">
        <v>0</v>
      </c>
      <c r="G650" s="2" t="n">
        <v>450</v>
      </c>
      <c r="H650" s="2" t="n">
        <v>740</v>
      </c>
      <c r="I650" s="2" t="n">
        <v>169</v>
      </c>
      <c r="J650" s="2" t="n">
        <v>293</v>
      </c>
      <c r="K650" s="2" t="n">
        <v>849</v>
      </c>
      <c r="L650" s="2" t="n">
        <v>0</v>
      </c>
      <c r="M650" s="2" t="n">
        <v>466</v>
      </c>
      <c r="N650" s="2" t="n">
        <v>236</v>
      </c>
      <c r="O650" s="2" t="n">
        <v>143</v>
      </c>
      <c r="Q650" s="2" t="n">
        <f aca="false">F650+G650+H650</f>
        <v>1190</v>
      </c>
    </row>
    <row r="651" customFormat="false" ht="12.8" hidden="false" customHeight="false" outlineLevel="0" collapsed="false">
      <c r="A651" s="2" t="s">
        <v>237</v>
      </c>
      <c r="B651" s="2" t="s">
        <v>264</v>
      </c>
      <c r="C651" s="2" t="s">
        <v>217</v>
      </c>
      <c r="D651" s="2" t="n">
        <v>1032</v>
      </c>
      <c r="E651" s="2" t="n">
        <v>1</v>
      </c>
      <c r="F651" s="2" t="n">
        <v>0</v>
      </c>
      <c r="G651" s="2" t="n">
        <v>540</v>
      </c>
      <c r="H651" s="2" t="n">
        <v>885</v>
      </c>
      <c r="I651" s="2" t="n">
        <v>180</v>
      </c>
      <c r="J651" s="2" t="n">
        <v>304</v>
      </c>
      <c r="K651" s="2" t="n">
        <v>791</v>
      </c>
      <c r="L651" s="2" t="n">
        <v>0</v>
      </c>
      <c r="M651" s="2" t="n">
        <v>721</v>
      </c>
      <c r="N651" s="2" t="n">
        <v>237</v>
      </c>
      <c r="O651" s="2" t="n">
        <v>119</v>
      </c>
      <c r="Q651" s="2" t="n">
        <f aca="false">F651+G651+H651</f>
        <v>1425</v>
      </c>
    </row>
    <row r="652" customFormat="false" ht="12.8" hidden="false" customHeight="false" outlineLevel="0" collapsed="false">
      <c r="A652" s="2" t="s">
        <v>237</v>
      </c>
      <c r="B652" s="2" t="s">
        <v>264</v>
      </c>
      <c r="C652" s="2" t="s">
        <v>218</v>
      </c>
      <c r="D652" s="2" t="n">
        <v>1058</v>
      </c>
      <c r="E652" s="2" t="n">
        <v>1</v>
      </c>
      <c r="F652" s="2" t="n">
        <v>0</v>
      </c>
      <c r="G652" s="2" t="n">
        <v>492</v>
      </c>
      <c r="H652" s="2" t="n">
        <v>976</v>
      </c>
      <c r="I652" s="2" t="n">
        <v>185</v>
      </c>
      <c r="J652" s="2" t="n">
        <v>423</v>
      </c>
      <c r="K652" s="2" t="n">
        <v>805</v>
      </c>
      <c r="L652" s="2" t="n">
        <v>0</v>
      </c>
      <c r="M652" s="2" t="n">
        <v>711</v>
      </c>
      <c r="N652" s="2" t="n">
        <v>233</v>
      </c>
      <c r="O652" s="2" t="n">
        <v>69</v>
      </c>
      <c r="Q652" s="2" t="n">
        <f aca="false">F652+G652+H652</f>
        <v>1468</v>
      </c>
    </row>
    <row r="653" customFormat="false" ht="12.8" hidden="false" customHeight="false" outlineLevel="0" collapsed="false">
      <c r="A653" s="2" t="s">
        <v>237</v>
      </c>
      <c r="B653" s="2" t="s">
        <v>264</v>
      </c>
      <c r="C653" s="2" t="s">
        <v>219</v>
      </c>
      <c r="D653" s="2" t="n">
        <v>1013</v>
      </c>
      <c r="E653" s="2" t="n">
        <v>1</v>
      </c>
      <c r="F653" s="2" t="n">
        <v>0</v>
      </c>
      <c r="G653" s="2" t="n">
        <v>462</v>
      </c>
      <c r="H653" s="2" t="n">
        <v>954</v>
      </c>
      <c r="I653" s="2" t="n">
        <v>268</v>
      </c>
      <c r="J653" s="2" t="n">
        <v>306</v>
      </c>
      <c r="K653" s="2" t="n">
        <v>786</v>
      </c>
      <c r="L653" s="2" t="n">
        <v>0</v>
      </c>
      <c r="M653" s="2" t="n">
        <v>787</v>
      </c>
      <c r="N653" s="2" t="n">
        <v>216</v>
      </c>
      <c r="O653" s="2" t="n">
        <v>136</v>
      </c>
      <c r="Q653" s="2" t="n">
        <f aca="false">F653+G653+H653</f>
        <v>1416</v>
      </c>
    </row>
    <row r="654" customFormat="false" ht="12.8" hidden="false" customHeight="false" outlineLevel="0" collapsed="false">
      <c r="A654" s="2" t="s">
        <v>237</v>
      </c>
      <c r="B654" s="2" t="s">
        <v>264</v>
      </c>
      <c r="C654" s="2" t="s">
        <v>220</v>
      </c>
      <c r="D654" s="2" t="n">
        <v>1011</v>
      </c>
      <c r="E654" s="2" t="n">
        <v>1</v>
      </c>
      <c r="F654" s="2" t="n">
        <v>0</v>
      </c>
      <c r="G654" s="2" t="n">
        <v>430</v>
      </c>
      <c r="H654" s="2" t="n">
        <v>959</v>
      </c>
      <c r="I654" s="2" t="n">
        <v>191</v>
      </c>
      <c r="J654" s="2" t="n">
        <v>404</v>
      </c>
      <c r="K654" s="2" t="n">
        <v>780</v>
      </c>
      <c r="L654" s="2" t="n">
        <v>0</v>
      </c>
      <c r="M654" s="2" t="n">
        <v>1043</v>
      </c>
      <c r="N654" s="2" t="n">
        <v>173</v>
      </c>
      <c r="O654" s="2" t="n">
        <v>128</v>
      </c>
      <c r="Q654" s="2" t="n">
        <f aca="false">F654+G654+H654</f>
        <v>1389</v>
      </c>
    </row>
    <row r="655" customFormat="false" ht="12.8" hidden="false" customHeight="false" outlineLevel="0" collapsed="false">
      <c r="A655" s="2" t="s">
        <v>237</v>
      </c>
      <c r="B655" s="2" t="s">
        <v>264</v>
      </c>
      <c r="C655" s="2" t="s">
        <v>221</v>
      </c>
      <c r="D655" s="2" t="n">
        <v>994</v>
      </c>
      <c r="E655" s="2" t="n">
        <v>1</v>
      </c>
      <c r="F655" s="2" t="n">
        <v>0</v>
      </c>
      <c r="G655" s="2" t="n">
        <v>404</v>
      </c>
      <c r="H655" s="2" t="n">
        <v>943</v>
      </c>
      <c r="I655" s="2" t="n">
        <v>256</v>
      </c>
      <c r="J655" s="2" t="n">
        <v>232</v>
      </c>
      <c r="K655" s="2" t="n">
        <v>844</v>
      </c>
      <c r="L655" s="2" t="n">
        <v>0</v>
      </c>
      <c r="M655" s="2" t="n">
        <v>1282</v>
      </c>
      <c r="N655" s="2" t="n">
        <v>240</v>
      </c>
      <c r="O655" s="2" t="n">
        <v>133</v>
      </c>
      <c r="Q655" s="2" t="n">
        <f aca="false">F655+G655+H655</f>
        <v>1347</v>
      </c>
    </row>
    <row r="656" customFormat="false" ht="12.8" hidden="false" customHeight="false" outlineLevel="0" collapsed="false">
      <c r="A656" s="2" t="s">
        <v>237</v>
      </c>
      <c r="B656" s="2" t="s">
        <v>264</v>
      </c>
      <c r="C656" s="2" t="s">
        <v>222</v>
      </c>
      <c r="D656" s="2" t="n">
        <v>972</v>
      </c>
      <c r="E656" s="2" t="n">
        <v>1</v>
      </c>
      <c r="F656" s="2" t="n">
        <v>0</v>
      </c>
      <c r="G656" s="2" t="n">
        <v>419</v>
      </c>
      <c r="H656" s="2" t="n">
        <v>981</v>
      </c>
      <c r="I656" s="2" t="n">
        <v>303</v>
      </c>
      <c r="J656" s="2" t="n">
        <v>353</v>
      </c>
      <c r="K656" s="2" t="n">
        <v>1017</v>
      </c>
      <c r="L656" s="2" t="n">
        <v>0</v>
      </c>
      <c r="M656" s="2" t="n">
        <v>1052</v>
      </c>
      <c r="N656" s="2" t="n">
        <v>254</v>
      </c>
      <c r="O656" s="2" t="n">
        <v>148</v>
      </c>
      <c r="Q656" s="2" t="n">
        <f aca="false">F656+G656+H656</f>
        <v>1400</v>
      </c>
    </row>
    <row r="657" customFormat="false" ht="12.8" hidden="false" customHeight="false" outlineLevel="0" collapsed="false">
      <c r="A657" s="2" t="s">
        <v>237</v>
      </c>
      <c r="B657" s="2" t="s">
        <v>264</v>
      </c>
      <c r="C657" s="2" t="s">
        <v>223</v>
      </c>
      <c r="D657" s="2" t="n">
        <v>897</v>
      </c>
      <c r="E657" s="2" t="n">
        <v>1</v>
      </c>
      <c r="F657" s="2" t="n">
        <v>0</v>
      </c>
      <c r="G657" s="2" t="n">
        <v>356</v>
      </c>
      <c r="H657" s="2" t="n">
        <v>915</v>
      </c>
      <c r="I657" s="2" t="n">
        <v>202</v>
      </c>
      <c r="J657" s="2" t="n">
        <v>328</v>
      </c>
      <c r="K657" s="2" t="n">
        <v>922</v>
      </c>
      <c r="L657" s="2" t="n">
        <v>0</v>
      </c>
      <c r="M657" s="2" t="n">
        <v>1070</v>
      </c>
      <c r="N657" s="2" t="n">
        <v>210</v>
      </c>
      <c r="O657" s="2" t="n">
        <v>61</v>
      </c>
      <c r="Q657" s="2" t="n">
        <f aca="false">F657+G657+H657</f>
        <v>1271</v>
      </c>
    </row>
    <row r="658" customFormat="false" ht="12.8" hidden="false" customHeight="false" outlineLevel="0" collapsed="false">
      <c r="A658" s="2" t="s">
        <v>237</v>
      </c>
      <c r="B658" s="2" t="s">
        <v>264</v>
      </c>
      <c r="C658" s="2" t="s">
        <v>224</v>
      </c>
      <c r="D658" s="2" t="n">
        <v>951</v>
      </c>
      <c r="E658" s="2" t="n">
        <v>1</v>
      </c>
      <c r="F658" s="2" t="n">
        <v>0</v>
      </c>
      <c r="G658" s="2" t="n">
        <v>390</v>
      </c>
      <c r="H658" s="2" t="n">
        <v>946</v>
      </c>
      <c r="I658" s="2" t="n">
        <v>197</v>
      </c>
      <c r="J658" s="2" t="n">
        <v>365</v>
      </c>
      <c r="K658" s="2" t="n">
        <v>1016</v>
      </c>
      <c r="L658" s="2" t="n">
        <v>0</v>
      </c>
      <c r="M658" s="2" t="n">
        <v>1112</v>
      </c>
      <c r="N658" s="2" t="n">
        <v>205</v>
      </c>
      <c r="O658" s="2" t="n">
        <v>187</v>
      </c>
      <c r="Q658" s="2" t="n">
        <f aca="false">F658+G658+H658</f>
        <v>1336</v>
      </c>
    </row>
    <row r="659" customFormat="false" ht="12.8" hidden="false" customHeight="false" outlineLevel="0" collapsed="false">
      <c r="A659" s="2" t="s">
        <v>266</v>
      </c>
      <c r="B659" s="2" t="s">
        <v>264</v>
      </c>
      <c r="C659" s="2" t="s">
        <v>212</v>
      </c>
      <c r="D659" s="2" t="n">
        <v>0</v>
      </c>
      <c r="E659" s="2" t="n">
        <v>1</v>
      </c>
      <c r="F659" s="2" t="n">
        <v>0</v>
      </c>
      <c r="G659" s="2" t="n">
        <v>0</v>
      </c>
      <c r="H659" s="2" t="n">
        <v>0</v>
      </c>
      <c r="I659" s="2" t="n">
        <v>0</v>
      </c>
      <c r="J659" s="2" t="n">
        <v>0</v>
      </c>
      <c r="K659" s="2" t="n">
        <v>0</v>
      </c>
      <c r="L659" s="2" t="n">
        <v>0</v>
      </c>
      <c r="M659" s="2" t="n">
        <v>0</v>
      </c>
      <c r="N659" s="2" t="n">
        <v>0</v>
      </c>
      <c r="O659" s="2" t="n">
        <v>0</v>
      </c>
      <c r="Q659" s="2" t="n">
        <f aca="false">F659+G659+H659</f>
        <v>0</v>
      </c>
    </row>
    <row r="660" customFormat="false" ht="12.8" hidden="false" customHeight="false" outlineLevel="0" collapsed="false">
      <c r="A660" s="2" t="s">
        <v>266</v>
      </c>
      <c r="B660" s="2" t="s">
        <v>264</v>
      </c>
      <c r="C660" s="2" t="s">
        <v>217</v>
      </c>
      <c r="D660" s="2" t="n">
        <v>81</v>
      </c>
      <c r="E660" s="2" t="n">
        <v>1</v>
      </c>
      <c r="F660" s="2" t="n">
        <v>79</v>
      </c>
      <c r="G660" s="2" t="n">
        <v>5</v>
      </c>
      <c r="H660" s="2" t="n">
        <v>0</v>
      </c>
      <c r="I660" s="2" t="n">
        <v>18</v>
      </c>
      <c r="J660" s="2" t="n">
        <v>17</v>
      </c>
      <c r="K660" s="2" t="n">
        <v>29</v>
      </c>
      <c r="L660" s="2" t="n">
        <v>0</v>
      </c>
      <c r="M660" s="2" t="n">
        <v>52</v>
      </c>
      <c r="N660" s="2" t="n">
        <v>39</v>
      </c>
      <c r="O660" s="2" t="n">
        <v>0</v>
      </c>
      <c r="Q660" s="2" t="n">
        <f aca="false">F660+G660+H660</f>
        <v>84</v>
      </c>
    </row>
    <row r="661" customFormat="false" ht="12.8" hidden="false" customHeight="false" outlineLevel="0" collapsed="false">
      <c r="A661" s="2" t="s">
        <v>266</v>
      </c>
      <c r="B661" s="2" t="s">
        <v>264</v>
      </c>
      <c r="C661" s="2" t="s">
        <v>218</v>
      </c>
      <c r="D661" s="2" t="n">
        <v>502</v>
      </c>
      <c r="E661" s="2" t="n">
        <v>1</v>
      </c>
      <c r="F661" s="2" t="n">
        <v>660</v>
      </c>
      <c r="G661" s="2" t="n">
        <v>60</v>
      </c>
      <c r="H661" s="2" t="n">
        <v>120</v>
      </c>
      <c r="I661" s="2" t="n">
        <v>321</v>
      </c>
      <c r="J661" s="2" t="n">
        <v>68</v>
      </c>
      <c r="K661" s="2" t="n">
        <v>246</v>
      </c>
      <c r="L661" s="2" t="n">
        <v>0</v>
      </c>
      <c r="M661" s="2" t="n">
        <v>405</v>
      </c>
      <c r="N661" s="2" t="n">
        <v>196</v>
      </c>
      <c r="O661" s="2" t="n">
        <v>57</v>
      </c>
      <c r="Q661" s="2" t="n">
        <f aca="false">F661+G661+H661</f>
        <v>840</v>
      </c>
    </row>
    <row r="662" customFormat="false" ht="12.8" hidden="false" customHeight="false" outlineLevel="0" collapsed="false">
      <c r="A662" s="2" t="s">
        <v>266</v>
      </c>
      <c r="B662" s="2" t="s">
        <v>264</v>
      </c>
      <c r="C662" s="2" t="s">
        <v>219</v>
      </c>
      <c r="D662" s="2" t="n">
        <v>480</v>
      </c>
      <c r="E662" s="2" t="n">
        <v>1</v>
      </c>
      <c r="F662" s="2" t="n">
        <v>575</v>
      </c>
      <c r="G662" s="2" t="n">
        <v>61</v>
      </c>
      <c r="H662" s="2" t="n">
        <v>122</v>
      </c>
      <c r="I662" s="2" t="n">
        <v>243</v>
      </c>
      <c r="J662" s="2" t="n">
        <v>71</v>
      </c>
      <c r="K662" s="2" t="n">
        <v>302</v>
      </c>
      <c r="L662" s="2" t="n">
        <v>0</v>
      </c>
      <c r="M662" s="2" t="n">
        <v>330</v>
      </c>
      <c r="N662" s="2" t="n">
        <v>175</v>
      </c>
      <c r="O662" s="2" t="n">
        <v>97</v>
      </c>
      <c r="Q662" s="2" t="n">
        <f aca="false">F662+G662+H662</f>
        <v>758</v>
      </c>
    </row>
    <row r="663" customFormat="false" ht="12.8" hidden="false" customHeight="false" outlineLevel="0" collapsed="false">
      <c r="A663" s="2" t="s">
        <v>266</v>
      </c>
      <c r="B663" s="2" t="s">
        <v>264</v>
      </c>
      <c r="C663" s="2" t="s">
        <v>220</v>
      </c>
      <c r="D663" s="2" t="n">
        <v>488</v>
      </c>
      <c r="E663" s="2" t="n">
        <v>1</v>
      </c>
      <c r="F663" s="2" t="n">
        <v>615</v>
      </c>
      <c r="G663" s="2" t="n">
        <v>59</v>
      </c>
      <c r="H663" s="2" t="n">
        <v>131</v>
      </c>
      <c r="I663" s="2" t="n">
        <v>327</v>
      </c>
      <c r="J663" s="2" t="n">
        <v>24</v>
      </c>
      <c r="K663" s="2" t="n">
        <v>253</v>
      </c>
      <c r="L663" s="2" t="n">
        <v>0</v>
      </c>
      <c r="M663" s="2" t="n">
        <v>393</v>
      </c>
      <c r="N663" s="2" t="n">
        <v>113</v>
      </c>
      <c r="O663" s="2" t="n">
        <v>128</v>
      </c>
      <c r="Q663" s="2" t="n">
        <f aca="false">F663+G663+H663</f>
        <v>805</v>
      </c>
    </row>
    <row r="664" customFormat="false" ht="12.8" hidden="false" customHeight="false" outlineLevel="0" collapsed="false">
      <c r="A664" s="2" t="s">
        <v>266</v>
      </c>
      <c r="B664" s="2" t="s">
        <v>264</v>
      </c>
      <c r="C664" s="2" t="s">
        <v>221</v>
      </c>
      <c r="D664" s="2" t="n">
        <v>577</v>
      </c>
      <c r="E664" s="2" t="n">
        <v>1</v>
      </c>
      <c r="F664" s="2" t="n">
        <v>725</v>
      </c>
      <c r="G664" s="2" t="n">
        <v>97</v>
      </c>
      <c r="H664" s="2" t="n">
        <v>149</v>
      </c>
      <c r="I664" s="2" t="n">
        <v>406</v>
      </c>
      <c r="J664" s="2" t="n">
        <v>104</v>
      </c>
      <c r="K664" s="2" t="n">
        <v>354</v>
      </c>
      <c r="L664" s="2" t="n">
        <v>0</v>
      </c>
      <c r="M664" s="2" t="n">
        <v>349</v>
      </c>
      <c r="N664" s="2" t="n">
        <v>223</v>
      </c>
      <c r="O664" s="2" t="n">
        <v>152</v>
      </c>
      <c r="Q664" s="2" t="n">
        <f aca="false">F664+G664+H664</f>
        <v>971</v>
      </c>
    </row>
    <row r="665" customFormat="false" ht="12.8" hidden="false" customHeight="false" outlineLevel="0" collapsed="false">
      <c r="A665" s="2" t="s">
        <v>266</v>
      </c>
      <c r="B665" s="2" t="s">
        <v>264</v>
      </c>
      <c r="C665" s="2" t="s">
        <v>222</v>
      </c>
      <c r="D665" s="2" t="n">
        <v>562</v>
      </c>
      <c r="E665" s="2" t="n">
        <v>1</v>
      </c>
      <c r="F665" s="2" t="n">
        <v>667</v>
      </c>
      <c r="G665" s="2" t="n">
        <v>92</v>
      </c>
      <c r="H665" s="2" t="n">
        <v>177</v>
      </c>
      <c r="I665" s="2" t="n">
        <v>248</v>
      </c>
      <c r="J665" s="2" t="n">
        <v>88</v>
      </c>
      <c r="K665" s="2" t="n">
        <v>370</v>
      </c>
      <c r="L665" s="2" t="n">
        <v>0</v>
      </c>
      <c r="M665" s="2" t="n">
        <v>461</v>
      </c>
      <c r="N665" s="2" t="n">
        <v>204</v>
      </c>
      <c r="O665" s="2" t="n">
        <v>118</v>
      </c>
      <c r="Q665" s="2" t="n">
        <f aca="false">F665+G665+H665</f>
        <v>936</v>
      </c>
    </row>
    <row r="666" customFormat="false" ht="12.8" hidden="false" customHeight="false" outlineLevel="0" collapsed="false">
      <c r="A666" s="2" t="s">
        <v>266</v>
      </c>
      <c r="B666" s="2" t="s">
        <v>264</v>
      </c>
      <c r="C666" s="2" t="s">
        <v>223</v>
      </c>
      <c r="D666" s="2" t="n">
        <v>561</v>
      </c>
      <c r="E666" s="2" t="n">
        <v>1</v>
      </c>
      <c r="F666" s="2" t="n">
        <v>679</v>
      </c>
      <c r="G666" s="2" t="n">
        <v>94</v>
      </c>
      <c r="H666" s="2" t="n">
        <v>133</v>
      </c>
      <c r="I666" s="2" t="n">
        <v>343</v>
      </c>
      <c r="J666" s="2" t="n">
        <v>56</v>
      </c>
      <c r="K666" s="2" t="n">
        <v>316</v>
      </c>
      <c r="L666" s="2" t="n">
        <v>0</v>
      </c>
      <c r="M666" s="2" t="n">
        <v>400</v>
      </c>
      <c r="N666" s="2" t="n">
        <v>189</v>
      </c>
      <c r="O666" s="2" t="n">
        <v>110</v>
      </c>
      <c r="Q666" s="2" t="n">
        <f aca="false">F666+G666+H666</f>
        <v>906</v>
      </c>
    </row>
    <row r="667" customFormat="false" ht="12.8" hidden="false" customHeight="false" outlineLevel="0" collapsed="false">
      <c r="A667" s="2" t="s">
        <v>266</v>
      </c>
      <c r="B667" s="2" t="s">
        <v>264</v>
      </c>
      <c r="C667" s="2" t="s">
        <v>224</v>
      </c>
      <c r="D667" s="2" t="n">
        <v>585</v>
      </c>
      <c r="E667" s="2" t="n">
        <v>1</v>
      </c>
      <c r="F667" s="2" t="n">
        <v>721</v>
      </c>
      <c r="G667" s="2" t="n">
        <v>103</v>
      </c>
      <c r="H667" s="2" t="n">
        <v>180</v>
      </c>
      <c r="I667" s="2" t="n">
        <v>379</v>
      </c>
      <c r="J667" s="2" t="n">
        <v>184</v>
      </c>
      <c r="K667" s="2" t="n">
        <v>397</v>
      </c>
      <c r="L667" s="2" t="n">
        <v>0</v>
      </c>
      <c r="M667" s="2" t="n">
        <v>262</v>
      </c>
      <c r="N667" s="2" t="n">
        <v>214</v>
      </c>
      <c r="O667" s="2" t="n">
        <v>142</v>
      </c>
      <c r="Q667" s="2" t="n">
        <f aca="false">F667+G667+H667</f>
        <v>1004</v>
      </c>
    </row>
    <row r="668" customFormat="false" ht="12.8" hidden="false" customHeight="false" outlineLevel="0" collapsed="false">
      <c r="A668" s="2" t="s">
        <v>238</v>
      </c>
      <c r="B668" s="2" t="s">
        <v>264</v>
      </c>
      <c r="C668" s="2" t="s">
        <v>212</v>
      </c>
      <c r="D668" s="2" t="n">
        <v>628</v>
      </c>
      <c r="E668" s="2" t="n">
        <v>1</v>
      </c>
      <c r="F668" s="2" t="n">
        <v>76</v>
      </c>
      <c r="G668" s="2" t="n">
        <v>173</v>
      </c>
      <c r="H668" s="2" t="n">
        <v>537</v>
      </c>
      <c r="I668" s="2" t="n">
        <v>588</v>
      </c>
      <c r="J668" s="2" t="n">
        <v>13</v>
      </c>
      <c r="K668" s="2" t="n">
        <v>753</v>
      </c>
      <c r="L668" s="2" t="n">
        <v>0</v>
      </c>
      <c r="M668" s="2" t="n">
        <v>10</v>
      </c>
      <c r="N668" s="2" t="n">
        <v>16</v>
      </c>
      <c r="O668" s="2" t="n">
        <v>475</v>
      </c>
      <c r="Q668" s="2" t="n">
        <f aca="false">F668+G668+H668</f>
        <v>786</v>
      </c>
    </row>
    <row r="669" customFormat="false" ht="12.8" hidden="false" customHeight="false" outlineLevel="0" collapsed="false">
      <c r="A669" s="2" t="s">
        <v>238</v>
      </c>
      <c r="B669" s="2" t="s">
        <v>264</v>
      </c>
      <c r="C669" s="2" t="s">
        <v>217</v>
      </c>
      <c r="D669" s="2" t="n">
        <v>687</v>
      </c>
      <c r="E669" s="2" t="n">
        <v>1</v>
      </c>
      <c r="F669" s="2" t="n">
        <v>86</v>
      </c>
      <c r="G669" s="2" t="n">
        <v>225</v>
      </c>
      <c r="H669" s="2" t="n">
        <v>618</v>
      </c>
      <c r="I669" s="2" t="n">
        <v>620</v>
      </c>
      <c r="J669" s="2" t="n">
        <v>28</v>
      </c>
      <c r="K669" s="2" t="n">
        <v>898</v>
      </c>
      <c r="L669" s="2" t="n">
        <v>0</v>
      </c>
      <c r="M669" s="2" t="n">
        <v>14</v>
      </c>
      <c r="N669" s="2" t="n">
        <v>51</v>
      </c>
      <c r="O669" s="2" t="n">
        <v>469</v>
      </c>
      <c r="Q669" s="2" t="n">
        <f aca="false">F669+G669+H669</f>
        <v>929</v>
      </c>
    </row>
    <row r="670" customFormat="false" ht="12.8" hidden="false" customHeight="false" outlineLevel="0" collapsed="false">
      <c r="A670" s="2" t="s">
        <v>238</v>
      </c>
      <c r="B670" s="2" t="s">
        <v>264</v>
      </c>
      <c r="C670" s="2" t="s">
        <v>218</v>
      </c>
      <c r="D670" s="2" t="n">
        <v>671</v>
      </c>
      <c r="E670" s="2" t="n">
        <v>1</v>
      </c>
      <c r="F670" s="2" t="n">
        <v>84</v>
      </c>
      <c r="G670" s="2" t="n">
        <v>202</v>
      </c>
      <c r="H670" s="2" t="n">
        <v>559</v>
      </c>
      <c r="I670" s="2" t="n">
        <v>598</v>
      </c>
      <c r="J670" s="2" t="n">
        <v>30</v>
      </c>
      <c r="K670" s="2" t="n">
        <v>826</v>
      </c>
      <c r="L670" s="2" t="n">
        <v>0</v>
      </c>
      <c r="M670" s="2" t="n">
        <v>15</v>
      </c>
      <c r="N670" s="2" t="n">
        <v>93</v>
      </c>
      <c r="O670" s="2" t="n">
        <v>382</v>
      </c>
      <c r="Q670" s="2" t="n">
        <f aca="false">F670+G670+H670</f>
        <v>845</v>
      </c>
    </row>
    <row r="671" customFormat="false" ht="12.8" hidden="false" customHeight="false" outlineLevel="0" collapsed="false">
      <c r="A671" s="2" t="s">
        <v>238</v>
      </c>
      <c r="B671" s="2" t="s">
        <v>264</v>
      </c>
      <c r="C671" s="2" t="s">
        <v>219</v>
      </c>
      <c r="D671" s="2" t="n">
        <v>744</v>
      </c>
      <c r="E671" s="2" t="n">
        <v>1</v>
      </c>
      <c r="F671" s="2" t="n">
        <v>111</v>
      </c>
      <c r="G671" s="2" t="n">
        <v>208</v>
      </c>
      <c r="H671" s="2" t="n">
        <v>647</v>
      </c>
      <c r="I671" s="2" t="n">
        <v>740</v>
      </c>
      <c r="J671" s="2" t="n">
        <v>23</v>
      </c>
      <c r="K671" s="2" t="n">
        <v>872</v>
      </c>
      <c r="L671" s="2" t="n">
        <v>0</v>
      </c>
      <c r="M671" s="2" t="n">
        <v>16</v>
      </c>
      <c r="N671" s="2" t="n">
        <v>119</v>
      </c>
      <c r="O671" s="2" t="n">
        <v>520</v>
      </c>
      <c r="Q671" s="2" t="n">
        <f aca="false">F671+G671+H671</f>
        <v>966</v>
      </c>
    </row>
    <row r="672" customFormat="false" ht="12.8" hidden="false" customHeight="false" outlineLevel="0" collapsed="false">
      <c r="A672" s="2" t="s">
        <v>238</v>
      </c>
      <c r="B672" s="2" t="s">
        <v>264</v>
      </c>
      <c r="C672" s="2" t="s">
        <v>220</v>
      </c>
      <c r="D672" s="2" t="n">
        <v>758</v>
      </c>
      <c r="E672" s="2" t="n">
        <v>1</v>
      </c>
      <c r="F672" s="2" t="n">
        <v>119</v>
      </c>
      <c r="G672" s="2" t="n">
        <v>190</v>
      </c>
      <c r="H672" s="2" t="n">
        <v>673</v>
      </c>
      <c r="I672" s="2" t="n">
        <v>739</v>
      </c>
      <c r="J672" s="2" t="n">
        <v>10</v>
      </c>
      <c r="K672" s="2" t="n">
        <v>908</v>
      </c>
      <c r="L672" s="2" t="n">
        <v>0</v>
      </c>
      <c r="M672" s="2" t="n">
        <v>5</v>
      </c>
      <c r="N672" s="2" t="n">
        <v>150</v>
      </c>
      <c r="O672" s="2" t="n">
        <v>520</v>
      </c>
      <c r="Q672" s="2" t="n">
        <f aca="false">F672+G672+H672</f>
        <v>982</v>
      </c>
    </row>
    <row r="673" customFormat="false" ht="12.8" hidden="false" customHeight="false" outlineLevel="0" collapsed="false">
      <c r="A673" s="2" t="s">
        <v>238</v>
      </c>
      <c r="B673" s="2" t="s">
        <v>264</v>
      </c>
      <c r="C673" s="2" t="s">
        <v>221</v>
      </c>
      <c r="D673" s="2" t="n">
        <v>903</v>
      </c>
      <c r="E673" s="2" t="n">
        <v>1</v>
      </c>
      <c r="F673" s="2" t="n">
        <v>145</v>
      </c>
      <c r="G673" s="2" t="n">
        <v>275</v>
      </c>
      <c r="H673" s="2" t="n">
        <v>797</v>
      </c>
      <c r="I673" s="2" t="n">
        <v>999</v>
      </c>
      <c r="J673" s="2" t="n">
        <v>2</v>
      </c>
      <c r="K673" s="2" t="n">
        <v>1174</v>
      </c>
      <c r="L673" s="2" t="n">
        <v>0</v>
      </c>
      <c r="M673" s="2" t="n">
        <v>4</v>
      </c>
      <c r="N673" s="2" t="n">
        <v>68</v>
      </c>
      <c r="O673" s="2" t="n">
        <v>684</v>
      </c>
      <c r="Q673" s="2" t="n">
        <f aca="false">F673+G673+H673</f>
        <v>1217</v>
      </c>
    </row>
    <row r="674" customFormat="false" ht="12.8" hidden="false" customHeight="false" outlineLevel="0" collapsed="false">
      <c r="A674" s="2" t="s">
        <v>238</v>
      </c>
      <c r="B674" s="2" t="s">
        <v>264</v>
      </c>
      <c r="C674" s="2" t="s">
        <v>222</v>
      </c>
      <c r="D674" s="2" t="n">
        <v>898</v>
      </c>
      <c r="E674" s="2" t="n">
        <v>1</v>
      </c>
      <c r="F674" s="2" t="n">
        <v>161</v>
      </c>
      <c r="G674" s="2" t="n">
        <v>253</v>
      </c>
      <c r="H674" s="2" t="n">
        <v>734</v>
      </c>
      <c r="I674" s="2" t="n">
        <v>961</v>
      </c>
      <c r="J674" s="2" t="n">
        <v>0</v>
      </c>
      <c r="K674" s="2" t="n">
        <v>1095</v>
      </c>
      <c r="L674" s="2" t="n">
        <v>0</v>
      </c>
      <c r="M674" s="2" t="n">
        <v>8</v>
      </c>
      <c r="N674" s="2" t="n">
        <v>23</v>
      </c>
      <c r="O674" s="2" t="n">
        <v>625</v>
      </c>
      <c r="Q674" s="2" t="n">
        <f aca="false">F674+G674+H674</f>
        <v>1148</v>
      </c>
    </row>
    <row r="675" customFormat="false" ht="12.8" hidden="false" customHeight="false" outlineLevel="0" collapsed="false">
      <c r="A675" s="2" t="s">
        <v>238</v>
      </c>
      <c r="B675" s="2" t="s">
        <v>264</v>
      </c>
      <c r="C675" s="2" t="s">
        <v>223</v>
      </c>
      <c r="D675" s="2" t="n">
        <v>855</v>
      </c>
      <c r="E675" s="2" t="n">
        <v>1</v>
      </c>
      <c r="F675" s="2" t="n">
        <v>191</v>
      </c>
      <c r="G675" s="2" t="n">
        <v>216</v>
      </c>
      <c r="H675" s="2" t="n">
        <v>700</v>
      </c>
      <c r="I675" s="2" t="n">
        <v>954</v>
      </c>
      <c r="J675" s="2" t="n">
        <v>0</v>
      </c>
      <c r="K675" s="2" t="n">
        <v>983</v>
      </c>
      <c r="L675" s="2" t="n">
        <v>0</v>
      </c>
      <c r="M675" s="2" t="n">
        <v>7</v>
      </c>
      <c r="N675" s="2" t="n">
        <v>52</v>
      </c>
      <c r="O675" s="2" t="n">
        <v>583</v>
      </c>
      <c r="Q675" s="2" t="n">
        <f aca="false">F675+G675+H675</f>
        <v>1107</v>
      </c>
    </row>
    <row r="676" customFormat="false" ht="12.8" hidden="false" customHeight="false" outlineLevel="0" collapsed="false">
      <c r="A676" s="2" t="s">
        <v>238</v>
      </c>
      <c r="B676" s="2" t="s">
        <v>264</v>
      </c>
      <c r="C676" s="2" t="s">
        <v>224</v>
      </c>
      <c r="D676" s="2" t="n">
        <v>774</v>
      </c>
      <c r="E676" s="2" t="n">
        <v>1</v>
      </c>
      <c r="F676" s="2" t="n">
        <v>166</v>
      </c>
      <c r="G676" s="2" t="n">
        <v>209</v>
      </c>
      <c r="H676" s="2" t="n">
        <v>645</v>
      </c>
      <c r="I676" s="2" t="n">
        <v>835</v>
      </c>
      <c r="J676" s="2" t="n">
        <v>0</v>
      </c>
      <c r="K676" s="2" t="n">
        <v>969</v>
      </c>
      <c r="L676" s="2" t="n">
        <v>0</v>
      </c>
      <c r="M676" s="2" t="n">
        <v>9</v>
      </c>
      <c r="N676" s="2" t="n">
        <v>62</v>
      </c>
      <c r="O676" s="2" t="n">
        <v>678</v>
      </c>
      <c r="Q676" s="2" t="n">
        <f aca="false">F676+G676+H676</f>
        <v>1020</v>
      </c>
    </row>
    <row r="677" customFormat="false" ht="12.8" hidden="false" customHeight="false" outlineLevel="0" collapsed="false">
      <c r="A677" s="2" t="s">
        <v>239</v>
      </c>
      <c r="B677" s="2" t="s">
        <v>264</v>
      </c>
      <c r="C677" s="2" t="s">
        <v>212</v>
      </c>
      <c r="D677" s="2" t="n">
        <v>399</v>
      </c>
      <c r="E677" s="2" t="n">
        <v>1</v>
      </c>
      <c r="F677" s="2" t="n">
        <v>0</v>
      </c>
      <c r="G677" s="2" t="n">
        <v>356</v>
      </c>
      <c r="H677" s="2" t="n">
        <v>273</v>
      </c>
      <c r="I677" s="2" t="n">
        <v>0</v>
      </c>
      <c r="J677" s="2" t="n">
        <v>119</v>
      </c>
      <c r="K677" s="2" t="n">
        <v>468</v>
      </c>
      <c r="L677" s="2" t="n">
        <v>0</v>
      </c>
      <c r="M677" s="2" t="n">
        <v>263</v>
      </c>
      <c r="N677" s="2" t="n">
        <v>65</v>
      </c>
      <c r="O677" s="2" t="n">
        <v>208</v>
      </c>
      <c r="Q677" s="2" t="n">
        <f aca="false">F677+G677+H677</f>
        <v>629</v>
      </c>
    </row>
    <row r="678" customFormat="false" ht="12.8" hidden="false" customHeight="false" outlineLevel="0" collapsed="false">
      <c r="A678" s="2" t="s">
        <v>239</v>
      </c>
      <c r="B678" s="2" t="s">
        <v>264</v>
      </c>
      <c r="C678" s="2" t="s">
        <v>217</v>
      </c>
      <c r="D678" s="2" t="n">
        <v>424</v>
      </c>
      <c r="E678" s="2" t="n">
        <v>1</v>
      </c>
      <c r="F678" s="2" t="n">
        <v>0</v>
      </c>
      <c r="G678" s="2" t="n">
        <v>463</v>
      </c>
      <c r="H678" s="2" t="n">
        <v>265</v>
      </c>
      <c r="I678" s="2" t="n">
        <v>0</v>
      </c>
      <c r="J678" s="2" t="n">
        <v>93</v>
      </c>
      <c r="K678" s="2" t="n">
        <v>489</v>
      </c>
      <c r="L678" s="2" t="n">
        <v>0</v>
      </c>
      <c r="M678" s="2" t="n">
        <v>368</v>
      </c>
      <c r="N678" s="2" t="n">
        <v>76</v>
      </c>
      <c r="O678" s="2" t="n">
        <v>218</v>
      </c>
      <c r="Q678" s="2" t="n">
        <f aca="false">F678+G678+H678</f>
        <v>728</v>
      </c>
    </row>
    <row r="679" customFormat="false" ht="12.8" hidden="false" customHeight="false" outlineLevel="0" collapsed="false">
      <c r="A679" s="2" t="s">
        <v>239</v>
      </c>
      <c r="B679" s="2" t="s">
        <v>264</v>
      </c>
      <c r="C679" s="2" t="s">
        <v>218</v>
      </c>
      <c r="D679" s="2" t="n">
        <v>417</v>
      </c>
      <c r="E679" s="2" t="n">
        <v>1</v>
      </c>
      <c r="F679" s="2" t="n">
        <v>0</v>
      </c>
      <c r="G679" s="2" t="n">
        <v>440</v>
      </c>
      <c r="H679" s="2" t="n">
        <v>286</v>
      </c>
      <c r="I679" s="2" t="n">
        <v>6</v>
      </c>
      <c r="J679" s="2" t="n">
        <v>95</v>
      </c>
      <c r="K679" s="2" t="n">
        <v>346</v>
      </c>
      <c r="L679" s="2" t="n">
        <v>0</v>
      </c>
      <c r="M679" s="2" t="n">
        <v>482</v>
      </c>
      <c r="N679" s="2" t="n">
        <v>66</v>
      </c>
      <c r="O679" s="2" t="n">
        <v>246</v>
      </c>
      <c r="Q679" s="2" t="n">
        <f aca="false">F679+G679+H679</f>
        <v>726</v>
      </c>
    </row>
    <row r="680" customFormat="false" ht="12.8" hidden="false" customHeight="false" outlineLevel="0" collapsed="false">
      <c r="A680" s="2" t="s">
        <v>239</v>
      </c>
      <c r="B680" s="2" t="s">
        <v>264</v>
      </c>
      <c r="C680" s="2" t="s">
        <v>219</v>
      </c>
      <c r="D680" s="2" t="n">
        <v>414</v>
      </c>
      <c r="E680" s="2" t="n">
        <v>1</v>
      </c>
      <c r="F680" s="2" t="n">
        <v>0</v>
      </c>
      <c r="G680" s="2" t="n">
        <v>412</v>
      </c>
      <c r="H680" s="2" t="n">
        <v>321</v>
      </c>
      <c r="I680" s="2" t="n">
        <v>0</v>
      </c>
      <c r="J680" s="2" t="n">
        <v>109</v>
      </c>
      <c r="K680" s="2" t="n">
        <v>349</v>
      </c>
      <c r="L680" s="2" t="n">
        <v>0</v>
      </c>
      <c r="M680" s="2" t="n">
        <v>509</v>
      </c>
      <c r="N680" s="2" t="n">
        <v>81</v>
      </c>
      <c r="O680" s="2" t="n">
        <v>231</v>
      </c>
      <c r="Q680" s="2" t="n">
        <f aca="false">F680+G680+H680</f>
        <v>733</v>
      </c>
    </row>
    <row r="681" customFormat="false" ht="12.8" hidden="false" customHeight="false" outlineLevel="0" collapsed="false">
      <c r="A681" s="2" t="s">
        <v>239</v>
      </c>
      <c r="B681" s="2" t="s">
        <v>264</v>
      </c>
      <c r="C681" s="2" t="s">
        <v>220</v>
      </c>
      <c r="D681" s="2" t="n">
        <v>460</v>
      </c>
      <c r="E681" s="2" t="n">
        <v>1</v>
      </c>
      <c r="F681" s="2" t="n">
        <v>0</v>
      </c>
      <c r="G681" s="2" t="n">
        <v>477</v>
      </c>
      <c r="H681" s="2" t="n">
        <v>351</v>
      </c>
      <c r="I681" s="2" t="n">
        <v>26</v>
      </c>
      <c r="J681" s="2" t="n">
        <v>88</v>
      </c>
      <c r="K681" s="2" t="n">
        <v>355</v>
      </c>
      <c r="L681" s="2" t="n">
        <v>0</v>
      </c>
      <c r="M681" s="2" t="n">
        <v>577</v>
      </c>
      <c r="N681" s="2" t="n">
        <v>170</v>
      </c>
      <c r="O681" s="2" t="n">
        <v>254</v>
      </c>
      <c r="Q681" s="2" t="n">
        <f aca="false">F681+G681+H681</f>
        <v>828</v>
      </c>
    </row>
    <row r="682" customFormat="false" ht="12.8" hidden="false" customHeight="false" outlineLevel="0" collapsed="false">
      <c r="A682" s="2" t="s">
        <v>239</v>
      </c>
      <c r="B682" s="2" t="s">
        <v>264</v>
      </c>
      <c r="C682" s="2" t="s">
        <v>221</v>
      </c>
      <c r="D682" s="2" t="n">
        <v>448</v>
      </c>
      <c r="E682" s="2" t="n">
        <v>1</v>
      </c>
      <c r="F682" s="2" t="n">
        <v>0</v>
      </c>
      <c r="G682" s="2" t="n">
        <v>467</v>
      </c>
      <c r="H682" s="2" t="n">
        <v>360</v>
      </c>
      <c r="I682" s="2" t="n">
        <v>10</v>
      </c>
      <c r="J682" s="2" t="n">
        <v>83</v>
      </c>
      <c r="K682" s="2" t="n">
        <v>367</v>
      </c>
      <c r="L682" s="2" t="n">
        <v>0</v>
      </c>
      <c r="M682" s="2" t="n">
        <v>572</v>
      </c>
      <c r="N682" s="2" t="n">
        <v>180</v>
      </c>
      <c r="O682" s="2" t="n">
        <v>272</v>
      </c>
      <c r="Q682" s="2" t="n">
        <f aca="false">F682+G682+H682</f>
        <v>827</v>
      </c>
    </row>
    <row r="683" customFormat="false" ht="12.8" hidden="false" customHeight="false" outlineLevel="0" collapsed="false">
      <c r="A683" s="2" t="s">
        <v>239</v>
      </c>
      <c r="B683" s="2" t="s">
        <v>264</v>
      </c>
      <c r="C683" s="2" t="s">
        <v>222</v>
      </c>
      <c r="D683" s="2" t="n">
        <v>419</v>
      </c>
      <c r="E683" s="2" t="n">
        <v>1</v>
      </c>
      <c r="F683" s="2" t="n">
        <v>0</v>
      </c>
      <c r="G683" s="2" t="n">
        <v>374</v>
      </c>
      <c r="H683" s="2" t="n">
        <v>404</v>
      </c>
      <c r="I683" s="2" t="n">
        <v>5</v>
      </c>
      <c r="J683" s="2" t="n">
        <v>93</v>
      </c>
      <c r="K683" s="2" t="n">
        <v>348</v>
      </c>
      <c r="L683" s="2" t="n">
        <v>0</v>
      </c>
      <c r="M683" s="2" t="n">
        <v>516</v>
      </c>
      <c r="N683" s="2" t="n">
        <v>222</v>
      </c>
      <c r="O683" s="2" t="n">
        <v>198</v>
      </c>
      <c r="Q683" s="2" t="n">
        <f aca="false">F683+G683+H683</f>
        <v>778</v>
      </c>
    </row>
    <row r="684" customFormat="false" ht="12.8" hidden="false" customHeight="false" outlineLevel="0" collapsed="false">
      <c r="A684" s="2" t="s">
        <v>239</v>
      </c>
      <c r="B684" s="2" t="s">
        <v>264</v>
      </c>
      <c r="C684" s="2" t="s">
        <v>223</v>
      </c>
      <c r="D684" s="2" t="n">
        <v>419</v>
      </c>
      <c r="E684" s="2" t="n">
        <v>1</v>
      </c>
      <c r="F684" s="2" t="n">
        <v>0</v>
      </c>
      <c r="G684" s="2" t="n">
        <v>389</v>
      </c>
      <c r="H684" s="2" t="n">
        <v>334</v>
      </c>
      <c r="I684" s="2" t="n">
        <v>0</v>
      </c>
      <c r="J684" s="2" t="n">
        <v>71</v>
      </c>
      <c r="K684" s="2" t="n">
        <v>274</v>
      </c>
      <c r="L684" s="2" t="n">
        <v>0</v>
      </c>
      <c r="M684" s="2" t="n">
        <v>508</v>
      </c>
      <c r="N684" s="2" t="n">
        <v>214</v>
      </c>
      <c r="O684" s="2" t="n">
        <v>200</v>
      </c>
      <c r="Q684" s="2" t="n">
        <f aca="false">F684+G684+H684</f>
        <v>723</v>
      </c>
    </row>
    <row r="685" customFormat="false" ht="12.8" hidden="false" customHeight="false" outlineLevel="0" collapsed="false">
      <c r="A685" s="2" t="s">
        <v>239</v>
      </c>
      <c r="B685" s="2" t="s">
        <v>264</v>
      </c>
      <c r="C685" s="2" t="s">
        <v>224</v>
      </c>
      <c r="D685" s="2" t="n">
        <v>453</v>
      </c>
      <c r="E685" s="2" t="n">
        <v>1</v>
      </c>
      <c r="F685" s="2" t="n">
        <v>0</v>
      </c>
      <c r="G685" s="2" t="n">
        <v>364</v>
      </c>
      <c r="H685" s="2" t="n">
        <v>336</v>
      </c>
      <c r="I685" s="2" t="n">
        <v>0</v>
      </c>
      <c r="J685" s="2" t="n">
        <v>165</v>
      </c>
      <c r="K685" s="2" t="n">
        <v>218</v>
      </c>
      <c r="L685" s="2" t="n">
        <v>0</v>
      </c>
      <c r="M685" s="2" t="n">
        <v>512</v>
      </c>
      <c r="N685" s="2" t="n">
        <v>302</v>
      </c>
      <c r="O685" s="2" t="n">
        <v>177</v>
      </c>
      <c r="Q685" s="2" t="n">
        <f aca="false">F685+G685+H685</f>
        <v>700</v>
      </c>
    </row>
    <row r="686" customFormat="false" ht="12.8" hidden="false" customHeight="false" outlineLevel="0" collapsed="false">
      <c r="A686" s="2" t="s">
        <v>240</v>
      </c>
      <c r="B686" s="2" t="s">
        <v>264</v>
      </c>
      <c r="C686" s="2" t="s">
        <v>212</v>
      </c>
      <c r="D686" s="2" t="n">
        <v>944</v>
      </c>
      <c r="E686" s="2" t="n">
        <v>1</v>
      </c>
      <c r="F686" s="2" t="n">
        <v>514</v>
      </c>
      <c r="G686" s="2" t="n">
        <v>470</v>
      </c>
      <c r="H686" s="2" t="n">
        <v>202</v>
      </c>
      <c r="I686" s="2" t="n">
        <v>264</v>
      </c>
      <c r="J686" s="2" t="n">
        <v>77</v>
      </c>
      <c r="K686" s="2" t="n">
        <v>942</v>
      </c>
      <c r="L686" s="2" t="n">
        <v>30</v>
      </c>
      <c r="M686" s="2" t="n">
        <v>436</v>
      </c>
      <c r="N686" s="2" t="n">
        <v>93</v>
      </c>
      <c r="O686" s="2" t="n">
        <v>426</v>
      </c>
      <c r="Q686" s="2" t="n">
        <f aca="false">F686+G686+H686</f>
        <v>1186</v>
      </c>
    </row>
    <row r="687" customFormat="false" ht="12.8" hidden="false" customHeight="false" outlineLevel="0" collapsed="false">
      <c r="A687" s="2" t="s">
        <v>240</v>
      </c>
      <c r="B687" s="2" t="s">
        <v>264</v>
      </c>
      <c r="C687" s="2" t="s">
        <v>217</v>
      </c>
      <c r="D687" s="2" t="n">
        <v>1051</v>
      </c>
      <c r="E687" s="2" t="n">
        <v>1</v>
      </c>
      <c r="F687" s="2" t="n">
        <v>600</v>
      </c>
      <c r="G687" s="2" t="n">
        <v>582</v>
      </c>
      <c r="H687" s="2" t="n">
        <v>265</v>
      </c>
      <c r="I687" s="2" t="n">
        <v>272</v>
      </c>
      <c r="J687" s="2" t="n">
        <v>135</v>
      </c>
      <c r="K687" s="2" t="n">
        <v>1122</v>
      </c>
      <c r="L687" s="2" t="n">
        <v>18</v>
      </c>
      <c r="M687" s="2" t="n">
        <v>507</v>
      </c>
      <c r="N687" s="2" t="n">
        <v>150</v>
      </c>
      <c r="O687" s="2" t="n">
        <v>562</v>
      </c>
      <c r="Q687" s="2" t="n">
        <f aca="false">F687+G687+H687</f>
        <v>1447</v>
      </c>
    </row>
    <row r="688" customFormat="false" ht="12.8" hidden="false" customHeight="false" outlineLevel="0" collapsed="false">
      <c r="A688" s="2" t="s">
        <v>240</v>
      </c>
      <c r="B688" s="2" t="s">
        <v>264</v>
      </c>
      <c r="C688" s="2" t="s">
        <v>218</v>
      </c>
      <c r="D688" s="2" t="n">
        <v>942</v>
      </c>
      <c r="E688" s="2" t="n">
        <v>1</v>
      </c>
      <c r="F688" s="2" t="n">
        <v>588</v>
      </c>
      <c r="G688" s="2" t="n">
        <v>480</v>
      </c>
      <c r="H688" s="2" t="n">
        <v>246</v>
      </c>
      <c r="I688" s="2" t="n">
        <v>227</v>
      </c>
      <c r="J688" s="2" t="n">
        <v>111</v>
      </c>
      <c r="K688" s="2" t="n">
        <v>995</v>
      </c>
      <c r="L688" s="2" t="n">
        <v>4</v>
      </c>
      <c r="M688" s="2" t="n">
        <v>486</v>
      </c>
      <c r="N688" s="2" t="n">
        <v>178</v>
      </c>
      <c r="O688" s="2" t="n">
        <v>420</v>
      </c>
      <c r="Q688" s="2" t="n">
        <f aca="false">F688+G688+H688</f>
        <v>1314</v>
      </c>
    </row>
    <row r="689" customFormat="false" ht="12.8" hidden="false" customHeight="false" outlineLevel="0" collapsed="false">
      <c r="A689" s="2" t="s">
        <v>240</v>
      </c>
      <c r="B689" s="2" t="s">
        <v>264</v>
      </c>
      <c r="C689" s="2" t="s">
        <v>219</v>
      </c>
      <c r="D689" s="2" t="n">
        <v>977</v>
      </c>
      <c r="E689" s="2" t="n">
        <v>1</v>
      </c>
      <c r="F689" s="2" t="n">
        <v>579</v>
      </c>
      <c r="G689" s="2" t="n">
        <v>524</v>
      </c>
      <c r="H689" s="2" t="n">
        <v>287</v>
      </c>
      <c r="I689" s="2" t="n">
        <v>179</v>
      </c>
      <c r="J689" s="2" t="n">
        <v>92</v>
      </c>
      <c r="K689" s="2" t="n">
        <v>1071</v>
      </c>
      <c r="L689" s="2" t="n">
        <v>4</v>
      </c>
      <c r="M689" s="2" t="n">
        <v>477</v>
      </c>
      <c r="N689" s="2" t="n">
        <v>99</v>
      </c>
      <c r="O689" s="2" t="n">
        <v>555</v>
      </c>
      <c r="Q689" s="2" t="n">
        <f aca="false">F689+G689+H689</f>
        <v>1390</v>
      </c>
    </row>
    <row r="690" customFormat="false" ht="12.8" hidden="false" customHeight="false" outlineLevel="0" collapsed="false">
      <c r="A690" s="2" t="s">
        <v>240</v>
      </c>
      <c r="B690" s="2" t="s">
        <v>264</v>
      </c>
      <c r="C690" s="2" t="s">
        <v>220</v>
      </c>
      <c r="D690" s="2" t="n">
        <v>1033</v>
      </c>
      <c r="E690" s="2" t="n">
        <v>1</v>
      </c>
      <c r="F690" s="2" t="n">
        <v>519</v>
      </c>
      <c r="G690" s="2" t="n">
        <v>570</v>
      </c>
      <c r="H690" s="2" t="n">
        <v>308</v>
      </c>
      <c r="I690" s="2" t="n">
        <v>189</v>
      </c>
      <c r="J690" s="2" t="n">
        <v>83</v>
      </c>
      <c r="K690" s="2" t="n">
        <v>1105</v>
      </c>
      <c r="L690" s="2" t="n">
        <v>13</v>
      </c>
      <c r="M690" s="2" t="n">
        <v>444</v>
      </c>
      <c r="N690" s="2" t="n">
        <v>152</v>
      </c>
      <c r="O690" s="2" t="n">
        <v>552</v>
      </c>
      <c r="Q690" s="2" t="n">
        <f aca="false">F690+G690+H690</f>
        <v>1397</v>
      </c>
    </row>
    <row r="691" customFormat="false" ht="12.8" hidden="false" customHeight="false" outlineLevel="0" collapsed="false">
      <c r="A691" s="2" t="s">
        <v>240</v>
      </c>
      <c r="B691" s="2" t="s">
        <v>264</v>
      </c>
      <c r="C691" s="2" t="s">
        <v>221</v>
      </c>
      <c r="D691" s="2" t="n">
        <v>1078</v>
      </c>
      <c r="E691" s="2" t="n">
        <v>1</v>
      </c>
      <c r="F691" s="2" t="n">
        <v>494</v>
      </c>
      <c r="G691" s="2" t="n">
        <v>647</v>
      </c>
      <c r="H691" s="2" t="n">
        <v>325</v>
      </c>
      <c r="I691" s="2" t="n">
        <v>188</v>
      </c>
      <c r="J691" s="2" t="n">
        <v>112</v>
      </c>
      <c r="K691" s="2" t="n">
        <v>1210</v>
      </c>
      <c r="L691" s="2" t="n">
        <v>14</v>
      </c>
      <c r="M691" s="2" t="n">
        <v>332</v>
      </c>
      <c r="N691" s="2" t="n">
        <v>190</v>
      </c>
      <c r="O691" s="2" t="n">
        <v>514</v>
      </c>
      <c r="Q691" s="2" t="n">
        <f aca="false">F691+G691+H691</f>
        <v>1466</v>
      </c>
    </row>
    <row r="692" customFormat="false" ht="12.8" hidden="false" customHeight="false" outlineLevel="0" collapsed="false">
      <c r="A692" s="2" t="s">
        <v>240</v>
      </c>
      <c r="B692" s="2" t="s">
        <v>264</v>
      </c>
      <c r="C692" s="2" t="s">
        <v>222</v>
      </c>
      <c r="D692" s="2" t="n">
        <v>1127</v>
      </c>
      <c r="E692" s="2" t="n">
        <v>1</v>
      </c>
      <c r="F692" s="2" t="n">
        <v>575</v>
      </c>
      <c r="G692" s="2" t="n">
        <v>599</v>
      </c>
      <c r="H692" s="2" t="n">
        <v>360</v>
      </c>
      <c r="I692" s="2" t="n">
        <v>235</v>
      </c>
      <c r="J692" s="2" t="n">
        <v>116</v>
      </c>
      <c r="K692" s="2" t="n">
        <v>1256</v>
      </c>
      <c r="L692" s="2" t="n">
        <v>24</v>
      </c>
      <c r="M692" s="2" t="n">
        <v>484</v>
      </c>
      <c r="N692" s="2" t="n">
        <v>197</v>
      </c>
      <c r="O692" s="2" t="n">
        <v>525</v>
      </c>
      <c r="Q692" s="2" t="n">
        <f aca="false">F692+G692+H692</f>
        <v>1534</v>
      </c>
    </row>
    <row r="693" customFormat="false" ht="12.8" hidden="false" customHeight="false" outlineLevel="0" collapsed="false">
      <c r="A693" s="2" t="s">
        <v>240</v>
      </c>
      <c r="B693" s="2" t="s">
        <v>264</v>
      </c>
      <c r="C693" s="2" t="s">
        <v>223</v>
      </c>
      <c r="D693" s="2" t="n">
        <v>1093</v>
      </c>
      <c r="E693" s="2" t="n">
        <v>1</v>
      </c>
      <c r="F693" s="2" t="n">
        <v>584</v>
      </c>
      <c r="G693" s="2" t="n">
        <v>581</v>
      </c>
      <c r="H693" s="2" t="n">
        <v>319</v>
      </c>
      <c r="I693" s="2" t="n">
        <v>336</v>
      </c>
      <c r="J693" s="2" t="n">
        <v>131</v>
      </c>
      <c r="K693" s="2" t="n">
        <v>1227</v>
      </c>
      <c r="L693" s="2" t="n">
        <v>33</v>
      </c>
      <c r="M693" s="2" t="n">
        <v>551</v>
      </c>
      <c r="N693" s="2" t="n">
        <v>120</v>
      </c>
      <c r="O693" s="2" t="n">
        <v>599</v>
      </c>
      <c r="Q693" s="2" t="n">
        <f aca="false">F693+G693+H693</f>
        <v>1484</v>
      </c>
    </row>
    <row r="694" customFormat="false" ht="12.8" hidden="false" customHeight="false" outlineLevel="0" collapsed="false">
      <c r="A694" s="2" t="s">
        <v>240</v>
      </c>
      <c r="B694" s="2" t="s">
        <v>264</v>
      </c>
      <c r="C694" s="2" t="s">
        <v>224</v>
      </c>
      <c r="D694" s="2" t="n">
        <v>1147</v>
      </c>
      <c r="E694" s="2" t="n">
        <v>1</v>
      </c>
      <c r="F694" s="2" t="n">
        <v>568</v>
      </c>
      <c r="G694" s="2" t="n">
        <v>638</v>
      </c>
      <c r="H694" s="2" t="n">
        <v>363</v>
      </c>
      <c r="I694" s="2" t="n">
        <v>359</v>
      </c>
      <c r="J694" s="2" t="n">
        <v>37</v>
      </c>
      <c r="K694" s="2" t="n">
        <v>1272</v>
      </c>
      <c r="L694" s="2" t="n">
        <v>33</v>
      </c>
      <c r="M694" s="2" t="n">
        <v>723</v>
      </c>
      <c r="N694" s="2" t="n">
        <v>143</v>
      </c>
      <c r="O694" s="2" t="n">
        <v>818</v>
      </c>
      <c r="Q694" s="2" t="n">
        <f aca="false">F694+G694+H694</f>
        <v>1569</v>
      </c>
    </row>
    <row r="695" customFormat="false" ht="12.8" hidden="false" customHeight="false" outlineLevel="0" collapsed="false">
      <c r="A695" s="2" t="s">
        <v>241</v>
      </c>
      <c r="B695" s="2" t="s">
        <v>264</v>
      </c>
      <c r="C695" s="2" t="s">
        <v>212</v>
      </c>
      <c r="D695" s="2" t="n">
        <v>855</v>
      </c>
      <c r="E695" s="2" t="n">
        <v>1</v>
      </c>
      <c r="F695" s="2" t="n">
        <v>783</v>
      </c>
      <c r="G695" s="2" t="n">
        <v>197</v>
      </c>
      <c r="H695" s="2" t="n">
        <v>231</v>
      </c>
      <c r="I695" s="2" t="n">
        <v>562</v>
      </c>
      <c r="J695" s="2" t="n">
        <v>270</v>
      </c>
      <c r="K695" s="2" t="n">
        <v>446</v>
      </c>
      <c r="L695" s="2" t="n">
        <v>0</v>
      </c>
      <c r="M695" s="2" t="n">
        <v>259</v>
      </c>
      <c r="N695" s="2" t="n">
        <v>205</v>
      </c>
      <c r="O695" s="2" t="n">
        <v>499</v>
      </c>
      <c r="Q695" s="2" t="n">
        <f aca="false">F695+G695+H695</f>
        <v>1211</v>
      </c>
    </row>
    <row r="696" customFormat="false" ht="12.8" hidden="false" customHeight="false" outlineLevel="0" collapsed="false">
      <c r="A696" s="2" t="s">
        <v>241</v>
      </c>
      <c r="B696" s="2" t="s">
        <v>264</v>
      </c>
      <c r="C696" s="2" t="s">
        <v>217</v>
      </c>
      <c r="D696" s="2" t="n">
        <v>960</v>
      </c>
      <c r="E696" s="2" t="n">
        <v>1</v>
      </c>
      <c r="F696" s="2" t="n">
        <v>778</v>
      </c>
      <c r="G696" s="2" t="n">
        <v>287</v>
      </c>
      <c r="H696" s="2" t="n">
        <v>347</v>
      </c>
      <c r="I696" s="2" t="n">
        <v>604</v>
      </c>
      <c r="J696" s="2" t="n">
        <v>319</v>
      </c>
      <c r="K696" s="2" t="n">
        <v>593</v>
      </c>
      <c r="L696" s="2" t="n">
        <v>0</v>
      </c>
      <c r="M696" s="2" t="n">
        <v>359</v>
      </c>
      <c r="N696" s="2" t="n">
        <v>161</v>
      </c>
      <c r="O696" s="2" t="n">
        <v>804</v>
      </c>
      <c r="Q696" s="2" t="n">
        <f aca="false">F696+G696+H696</f>
        <v>1412</v>
      </c>
    </row>
    <row r="697" customFormat="false" ht="12.8" hidden="false" customHeight="false" outlineLevel="0" collapsed="false">
      <c r="A697" s="2" t="s">
        <v>241</v>
      </c>
      <c r="B697" s="2" t="s">
        <v>264</v>
      </c>
      <c r="C697" s="2" t="s">
        <v>218</v>
      </c>
      <c r="D697" s="2" t="n">
        <v>984</v>
      </c>
      <c r="E697" s="2" t="n">
        <v>1</v>
      </c>
      <c r="F697" s="2" t="n">
        <v>886</v>
      </c>
      <c r="G697" s="2" t="n">
        <v>230</v>
      </c>
      <c r="H697" s="2" t="n">
        <v>368</v>
      </c>
      <c r="I697" s="2" t="n">
        <v>607</v>
      </c>
      <c r="J697" s="2" t="n">
        <v>341</v>
      </c>
      <c r="K697" s="2" t="n">
        <v>634</v>
      </c>
      <c r="L697" s="2" t="n">
        <v>0</v>
      </c>
      <c r="M697" s="2" t="n">
        <v>334</v>
      </c>
      <c r="N697" s="2" t="n">
        <v>252</v>
      </c>
      <c r="O697" s="2" t="n">
        <v>683</v>
      </c>
      <c r="Q697" s="2" t="n">
        <f aca="false">F697+G697+H697</f>
        <v>1484</v>
      </c>
    </row>
    <row r="698" customFormat="false" ht="12.8" hidden="false" customHeight="false" outlineLevel="0" collapsed="false">
      <c r="A698" s="2" t="s">
        <v>241</v>
      </c>
      <c r="B698" s="2" t="s">
        <v>264</v>
      </c>
      <c r="C698" s="2" t="s">
        <v>219</v>
      </c>
      <c r="D698" s="2" t="n">
        <v>945</v>
      </c>
      <c r="E698" s="2" t="n">
        <v>1</v>
      </c>
      <c r="F698" s="2" t="n">
        <v>732</v>
      </c>
      <c r="G698" s="2" t="n">
        <v>263</v>
      </c>
      <c r="H698" s="2" t="n">
        <v>356</v>
      </c>
      <c r="I698" s="2" t="n">
        <v>456</v>
      </c>
      <c r="J698" s="2" t="n">
        <v>431</v>
      </c>
      <c r="K698" s="2" t="n">
        <v>595</v>
      </c>
      <c r="L698" s="2" t="n">
        <v>0</v>
      </c>
      <c r="M698" s="2" t="n">
        <v>320</v>
      </c>
      <c r="N698" s="2" t="n">
        <v>197</v>
      </c>
      <c r="O698" s="2" t="n">
        <v>772</v>
      </c>
      <c r="Q698" s="2" t="n">
        <f aca="false">F698+G698+H698</f>
        <v>1351</v>
      </c>
    </row>
    <row r="699" customFormat="false" ht="12.8" hidden="false" customHeight="false" outlineLevel="0" collapsed="false">
      <c r="A699" s="2" t="s">
        <v>241</v>
      </c>
      <c r="B699" s="2" t="s">
        <v>264</v>
      </c>
      <c r="C699" s="2" t="s">
        <v>220</v>
      </c>
      <c r="D699" s="2" t="n">
        <v>964</v>
      </c>
      <c r="E699" s="2" t="n">
        <v>1</v>
      </c>
      <c r="F699" s="2" t="n">
        <v>790</v>
      </c>
      <c r="G699" s="2" t="n">
        <v>236</v>
      </c>
      <c r="H699" s="2" t="n">
        <v>329</v>
      </c>
      <c r="I699" s="2" t="n">
        <v>479</v>
      </c>
      <c r="J699" s="2" t="n">
        <v>432</v>
      </c>
      <c r="K699" s="2" t="n">
        <v>389</v>
      </c>
      <c r="L699" s="2" t="n">
        <v>0</v>
      </c>
      <c r="M699" s="2" t="n">
        <v>451</v>
      </c>
      <c r="N699" s="2" t="n">
        <v>201</v>
      </c>
      <c r="O699" s="2" t="n">
        <v>697</v>
      </c>
      <c r="Q699" s="2" t="n">
        <f aca="false">F699+G699+H699</f>
        <v>1355</v>
      </c>
    </row>
    <row r="700" customFormat="false" ht="12.8" hidden="false" customHeight="false" outlineLevel="0" collapsed="false">
      <c r="A700" s="2" t="s">
        <v>241</v>
      </c>
      <c r="B700" s="2" t="s">
        <v>264</v>
      </c>
      <c r="C700" s="2" t="s">
        <v>221</v>
      </c>
      <c r="D700" s="2" t="n">
        <v>955</v>
      </c>
      <c r="E700" s="2" t="n">
        <v>1</v>
      </c>
      <c r="F700" s="2" t="n">
        <v>777</v>
      </c>
      <c r="G700" s="2" t="n">
        <v>277</v>
      </c>
      <c r="H700" s="2" t="n">
        <v>345</v>
      </c>
      <c r="I700" s="2" t="n">
        <v>456</v>
      </c>
      <c r="J700" s="2" t="n">
        <v>411</v>
      </c>
      <c r="K700" s="2" t="n">
        <v>464</v>
      </c>
      <c r="L700" s="2" t="n">
        <v>0</v>
      </c>
      <c r="M700" s="2" t="n">
        <v>447</v>
      </c>
      <c r="N700" s="2" t="n">
        <v>211</v>
      </c>
      <c r="O700" s="2" t="n">
        <v>702</v>
      </c>
      <c r="Q700" s="2" t="n">
        <f aca="false">F700+G700+H700</f>
        <v>1399</v>
      </c>
    </row>
    <row r="701" customFormat="false" ht="12.8" hidden="false" customHeight="false" outlineLevel="0" collapsed="false">
      <c r="A701" s="2" t="s">
        <v>241</v>
      </c>
      <c r="B701" s="2" t="s">
        <v>264</v>
      </c>
      <c r="C701" s="2" t="s">
        <v>222</v>
      </c>
      <c r="D701" s="2" t="n">
        <v>929</v>
      </c>
      <c r="E701" s="2" t="n">
        <v>1</v>
      </c>
      <c r="F701" s="2" t="n">
        <v>746</v>
      </c>
      <c r="G701" s="2" t="n">
        <v>234</v>
      </c>
      <c r="H701" s="2" t="n">
        <v>362</v>
      </c>
      <c r="I701" s="2" t="n">
        <v>480</v>
      </c>
      <c r="J701" s="2" t="n">
        <v>336</v>
      </c>
      <c r="K701" s="2" t="n">
        <v>482</v>
      </c>
      <c r="L701" s="2" t="n">
        <v>0</v>
      </c>
      <c r="M701" s="2" t="n">
        <v>462</v>
      </c>
      <c r="N701" s="2" t="n">
        <v>197</v>
      </c>
      <c r="O701" s="2" t="n">
        <v>651</v>
      </c>
      <c r="Q701" s="2" t="n">
        <f aca="false">F701+G701+H701</f>
        <v>1342</v>
      </c>
    </row>
    <row r="702" customFormat="false" ht="12.8" hidden="false" customHeight="false" outlineLevel="0" collapsed="false">
      <c r="A702" s="2" t="s">
        <v>241</v>
      </c>
      <c r="B702" s="2" t="s">
        <v>264</v>
      </c>
      <c r="C702" s="2" t="s">
        <v>223</v>
      </c>
      <c r="D702" s="2" t="n">
        <v>876</v>
      </c>
      <c r="E702" s="2" t="n">
        <v>1</v>
      </c>
      <c r="F702" s="2" t="n">
        <v>747</v>
      </c>
      <c r="G702" s="2" t="n">
        <v>194</v>
      </c>
      <c r="H702" s="2" t="n">
        <v>329</v>
      </c>
      <c r="I702" s="2" t="n">
        <v>436</v>
      </c>
      <c r="J702" s="2" t="n">
        <v>264</v>
      </c>
      <c r="K702" s="2" t="n">
        <v>568</v>
      </c>
      <c r="L702" s="2" t="n">
        <v>0</v>
      </c>
      <c r="M702" s="2" t="n">
        <v>298</v>
      </c>
      <c r="N702" s="2" t="n">
        <v>213</v>
      </c>
      <c r="O702" s="2" t="n">
        <v>506</v>
      </c>
      <c r="Q702" s="2" t="n">
        <f aca="false">F702+G702+H702</f>
        <v>1270</v>
      </c>
    </row>
    <row r="703" customFormat="false" ht="12.8" hidden="false" customHeight="false" outlineLevel="0" collapsed="false">
      <c r="A703" s="2" t="s">
        <v>241</v>
      </c>
      <c r="B703" s="2" t="s">
        <v>264</v>
      </c>
      <c r="C703" s="2" t="s">
        <v>224</v>
      </c>
      <c r="D703" s="2" t="n">
        <v>867</v>
      </c>
      <c r="E703" s="2" t="n">
        <v>1</v>
      </c>
      <c r="F703" s="2" t="n">
        <v>731</v>
      </c>
      <c r="G703" s="2" t="n">
        <v>184</v>
      </c>
      <c r="H703" s="2" t="n">
        <v>326</v>
      </c>
      <c r="I703" s="2" t="n">
        <v>529</v>
      </c>
      <c r="J703" s="2" t="n">
        <v>279</v>
      </c>
      <c r="K703" s="2" t="n">
        <v>414</v>
      </c>
      <c r="L703" s="2" t="n">
        <v>0</v>
      </c>
      <c r="M703" s="2" t="n">
        <v>389</v>
      </c>
      <c r="N703" s="2" t="n">
        <v>164</v>
      </c>
      <c r="O703" s="2" t="n">
        <v>565</v>
      </c>
      <c r="Q703" s="2" t="n">
        <f aca="false">F703+G703+H703</f>
        <v>1241</v>
      </c>
    </row>
    <row r="704" customFormat="false" ht="12.8" hidden="false" customHeight="false" outlineLevel="0" collapsed="false">
      <c r="A704" s="2" t="s">
        <v>242</v>
      </c>
      <c r="B704" s="2" t="s">
        <v>264</v>
      </c>
      <c r="C704" s="2" t="s">
        <v>212</v>
      </c>
      <c r="D704" s="2" t="n">
        <v>932</v>
      </c>
      <c r="E704" s="2" t="n">
        <v>1</v>
      </c>
      <c r="F704" s="2" t="n">
        <v>0</v>
      </c>
      <c r="G704" s="2" t="n">
        <v>351</v>
      </c>
      <c r="H704" s="2" t="n">
        <v>708</v>
      </c>
      <c r="I704" s="2" t="n">
        <v>215</v>
      </c>
      <c r="J704" s="2" t="n">
        <v>47</v>
      </c>
      <c r="K704" s="2" t="n">
        <v>1037</v>
      </c>
      <c r="L704" s="2" t="n">
        <v>19</v>
      </c>
      <c r="M704" s="2" t="n">
        <v>113</v>
      </c>
      <c r="N704" s="2" t="n">
        <v>160</v>
      </c>
      <c r="O704" s="2" t="n">
        <v>486</v>
      </c>
      <c r="Q704" s="2" t="n">
        <f aca="false">F704+G704+H704</f>
        <v>1059</v>
      </c>
    </row>
    <row r="705" customFormat="false" ht="12.8" hidden="false" customHeight="false" outlineLevel="0" collapsed="false">
      <c r="A705" s="2" t="s">
        <v>242</v>
      </c>
      <c r="B705" s="2" t="s">
        <v>264</v>
      </c>
      <c r="C705" s="2" t="s">
        <v>217</v>
      </c>
      <c r="D705" s="2" t="n">
        <v>1159</v>
      </c>
      <c r="E705" s="2" t="n">
        <v>1</v>
      </c>
      <c r="F705" s="2" t="n">
        <v>0</v>
      </c>
      <c r="G705" s="2" t="n">
        <v>428</v>
      </c>
      <c r="H705" s="2" t="n">
        <v>1006</v>
      </c>
      <c r="I705" s="2" t="n">
        <v>414</v>
      </c>
      <c r="J705" s="2" t="n">
        <v>71</v>
      </c>
      <c r="K705" s="2" t="n">
        <v>1319</v>
      </c>
      <c r="L705" s="2" t="n">
        <v>31</v>
      </c>
      <c r="M705" s="2" t="n">
        <v>186</v>
      </c>
      <c r="N705" s="2" t="n">
        <v>301</v>
      </c>
      <c r="O705" s="2" t="n">
        <v>674</v>
      </c>
      <c r="Q705" s="2" t="n">
        <f aca="false">F705+G705+H705</f>
        <v>1434</v>
      </c>
    </row>
    <row r="706" customFormat="false" ht="12.8" hidden="false" customHeight="false" outlineLevel="0" collapsed="false">
      <c r="A706" s="2" t="s">
        <v>242</v>
      </c>
      <c r="B706" s="2" t="s">
        <v>264</v>
      </c>
      <c r="C706" s="2" t="s">
        <v>218</v>
      </c>
      <c r="D706" s="2" t="n">
        <v>1157</v>
      </c>
      <c r="E706" s="2" t="n">
        <v>1</v>
      </c>
      <c r="F706" s="2" t="n">
        <v>0</v>
      </c>
      <c r="G706" s="2" t="n">
        <v>452</v>
      </c>
      <c r="H706" s="2" t="n">
        <v>1007</v>
      </c>
      <c r="I706" s="2" t="n">
        <v>506</v>
      </c>
      <c r="J706" s="2" t="n">
        <v>76</v>
      </c>
      <c r="K706" s="2" t="n">
        <v>1319</v>
      </c>
      <c r="L706" s="2" t="n">
        <v>81</v>
      </c>
      <c r="M706" s="2" t="n">
        <v>212</v>
      </c>
      <c r="N706" s="2" t="n">
        <v>343</v>
      </c>
      <c r="O706" s="2" t="n">
        <v>767</v>
      </c>
      <c r="Q706" s="2" t="n">
        <f aca="false">F706+G706+H706</f>
        <v>1459</v>
      </c>
    </row>
    <row r="707" customFormat="false" ht="12.8" hidden="false" customHeight="false" outlineLevel="0" collapsed="false">
      <c r="A707" s="2" t="s">
        <v>242</v>
      </c>
      <c r="B707" s="2" t="s">
        <v>264</v>
      </c>
      <c r="C707" s="2" t="s">
        <v>219</v>
      </c>
      <c r="D707" s="2" t="n">
        <v>1189</v>
      </c>
      <c r="E707" s="2" t="n">
        <v>1</v>
      </c>
      <c r="F707" s="2" t="n">
        <v>0</v>
      </c>
      <c r="G707" s="2" t="n">
        <v>424</v>
      </c>
      <c r="H707" s="2" t="n">
        <v>1056</v>
      </c>
      <c r="I707" s="2" t="n">
        <v>368</v>
      </c>
      <c r="J707" s="2" t="n">
        <v>139</v>
      </c>
      <c r="K707" s="2" t="n">
        <v>1302</v>
      </c>
      <c r="L707" s="2" t="n">
        <v>81</v>
      </c>
      <c r="M707" s="2" t="n">
        <v>197</v>
      </c>
      <c r="N707" s="2" t="n">
        <v>368</v>
      </c>
      <c r="O707" s="2" t="n">
        <v>621</v>
      </c>
      <c r="Q707" s="2" t="n">
        <f aca="false">F707+G707+H707</f>
        <v>1480</v>
      </c>
    </row>
    <row r="708" customFormat="false" ht="12.8" hidden="false" customHeight="false" outlineLevel="0" collapsed="false">
      <c r="A708" s="2" t="s">
        <v>242</v>
      </c>
      <c r="B708" s="2" t="s">
        <v>264</v>
      </c>
      <c r="C708" s="2" t="s">
        <v>220</v>
      </c>
      <c r="D708" s="2" t="n">
        <v>1159</v>
      </c>
      <c r="E708" s="2" t="n">
        <v>1</v>
      </c>
      <c r="F708" s="2" t="n">
        <v>0</v>
      </c>
      <c r="G708" s="2" t="n">
        <v>412</v>
      </c>
      <c r="H708" s="2" t="n">
        <v>983</v>
      </c>
      <c r="I708" s="2" t="n">
        <v>320</v>
      </c>
      <c r="J708" s="2" t="n">
        <v>140</v>
      </c>
      <c r="K708" s="2" t="n">
        <v>1298</v>
      </c>
      <c r="L708" s="2" t="n">
        <v>67</v>
      </c>
      <c r="M708" s="2" t="n">
        <v>214</v>
      </c>
      <c r="N708" s="2" t="n">
        <v>334</v>
      </c>
      <c r="O708" s="2" t="n">
        <v>714</v>
      </c>
      <c r="Q708" s="2" t="n">
        <f aca="false">F708+G708+H708</f>
        <v>1395</v>
      </c>
    </row>
    <row r="709" customFormat="false" ht="12.8" hidden="false" customHeight="false" outlineLevel="0" collapsed="false">
      <c r="A709" s="2" t="s">
        <v>242</v>
      </c>
      <c r="B709" s="2" t="s">
        <v>264</v>
      </c>
      <c r="C709" s="2" t="s">
        <v>221</v>
      </c>
      <c r="D709" s="2" t="n">
        <v>1169</v>
      </c>
      <c r="E709" s="2" t="n">
        <v>1</v>
      </c>
      <c r="F709" s="2" t="n">
        <v>0</v>
      </c>
      <c r="G709" s="2" t="n">
        <v>370</v>
      </c>
      <c r="H709" s="2" t="n">
        <v>1096</v>
      </c>
      <c r="I709" s="2" t="n">
        <v>448</v>
      </c>
      <c r="J709" s="2" t="n">
        <v>108</v>
      </c>
      <c r="K709" s="2" t="n">
        <v>1289</v>
      </c>
      <c r="L709" s="2" t="n">
        <v>82</v>
      </c>
      <c r="M709" s="2" t="n">
        <v>284</v>
      </c>
      <c r="N709" s="2" t="n">
        <v>401</v>
      </c>
      <c r="O709" s="2" t="n">
        <v>769</v>
      </c>
      <c r="Q709" s="2" t="n">
        <f aca="false">F709+G709+H709</f>
        <v>1466</v>
      </c>
    </row>
    <row r="710" customFormat="false" ht="12.8" hidden="false" customHeight="false" outlineLevel="0" collapsed="false">
      <c r="A710" s="2" t="s">
        <v>242</v>
      </c>
      <c r="B710" s="2" t="s">
        <v>264</v>
      </c>
      <c r="C710" s="2" t="s">
        <v>222</v>
      </c>
      <c r="D710" s="2" t="n">
        <v>1165</v>
      </c>
      <c r="E710" s="2" t="n">
        <v>1</v>
      </c>
      <c r="F710" s="2" t="n">
        <v>0</v>
      </c>
      <c r="G710" s="2" t="n">
        <v>397</v>
      </c>
      <c r="H710" s="2" t="n">
        <v>1141</v>
      </c>
      <c r="I710" s="2" t="n">
        <v>433</v>
      </c>
      <c r="J710" s="2" t="n">
        <v>179</v>
      </c>
      <c r="K710" s="2" t="n">
        <v>1365</v>
      </c>
      <c r="L710" s="2" t="n">
        <v>102</v>
      </c>
      <c r="M710" s="2" t="n">
        <v>280</v>
      </c>
      <c r="N710" s="2" t="n">
        <v>384</v>
      </c>
      <c r="O710" s="2" t="n">
        <v>872</v>
      </c>
      <c r="Q710" s="2" t="n">
        <f aca="false">F710+G710+H710</f>
        <v>1538</v>
      </c>
    </row>
    <row r="711" customFormat="false" ht="12.8" hidden="false" customHeight="false" outlineLevel="0" collapsed="false">
      <c r="A711" s="2" t="s">
        <v>242</v>
      </c>
      <c r="B711" s="2" t="s">
        <v>264</v>
      </c>
      <c r="C711" s="2" t="s">
        <v>223</v>
      </c>
      <c r="D711" s="2" t="n">
        <v>1195</v>
      </c>
      <c r="E711" s="2" t="n">
        <v>1</v>
      </c>
      <c r="F711" s="2" t="n">
        <v>0</v>
      </c>
      <c r="G711" s="2" t="n">
        <v>367</v>
      </c>
      <c r="H711" s="2" t="n">
        <v>1279</v>
      </c>
      <c r="I711" s="2" t="n">
        <v>620</v>
      </c>
      <c r="J711" s="2" t="n">
        <v>280</v>
      </c>
      <c r="K711" s="2" t="n">
        <v>1358</v>
      </c>
      <c r="L711" s="2" t="n">
        <v>123</v>
      </c>
      <c r="M711" s="2" t="n">
        <v>312</v>
      </c>
      <c r="N711" s="2" t="n">
        <v>403</v>
      </c>
      <c r="O711" s="2" t="n">
        <v>797</v>
      </c>
      <c r="Q711" s="2" t="n">
        <f aca="false">F711+G711+H711</f>
        <v>1646</v>
      </c>
    </row>
    <row r="712" customFormat="false" ht="12.8" hidden="false" customHeight="false" outlineLevel="0" collapsed="false">
      <c r="A712" s="2" t="s">
        <v>242</v>
      </c>
      <c r="B712" s="2" t="s">
        <v>264</v>
      </c>
      <c r="C712" s="2" t="s">
        <v>224</v>
      </c>
      <c r="D712" s="2" t="n">
        <v>1328</v>
      </c>
      <c r="E712" s="2" t="n">
        <v>1</v>
      </c>
      <c r="F712" s="2" t="n">
        <v>0</v>
      </c>
      <c r="G712" s="2" t="n">
        <v>418</v>
      </c>
      <c r="H712" s="2" t="n">
        <v>1373</v>
      </c>
      <c r="I712" s="2" t="n">
        <v>801</v>
      </c>
      <c r="J712" s="2" t="n">
        <v>301</v>
      </c>
      <c r="K712" s="2" t="n">
        <v>1469</v>
      </c>
      <c r="L712" s="2" t="n">
        <v>45</v>
      </c>
      <c r="M712" s="2" t="n">
        <v>323</v>
      </c>
      <c r="N712" s="2" t="n">
        <v>425</v>
      </c>
      <c r="O712" s="2" t="n">
        <v>817</v>
      </c>
      <c r="Q712" s="2" t="n">
        <f aca="false">F712+G712+H712</f>
        <v>1791</v>
      </c>
    </row>
    <row r="713" customFormat="false" ht="12.8" hidden="false" customHeight="false" outlineLevel="0" collapsed="false">
      <c r="A713" s="2" t="s">
        <v>243</v>
      </c>
      <c r="B713" s="2" t="s">
        <v>264</v>
      </c>
      <c r="C713" s="2" t="s">
        <v>212</v>
      </c>
      <c r="D713" s="2" t="n">
        <v>1851</v>
      </c>
      <c r="E713" s="2" t="n">
        <v>1</v>
      </c>
      <c r="F713" s="2" t="n">
        <v>472</v>
      </c>
      <c r="G713" s="2" t="n">
        <v>614</v>
      </c>
      <c r="H713" s="2" t="n">
        <v>1685</v>
      </c>
      <c r="I713" s="2" t="n">
        <v>1588</v>
      </c>
      <c r="J713" s="2" t="n">
        <v>19</v>
      </c>
      <c r="K713" s="2" t="n">
        <v>1326</v>
      </c>
      <c r="L713" s="2" t="n">
        <v>105</v>
      </c>
      <c r="M713" s="2" t="n">
        <v>194</v>
      </c>
      <c r="N713" s="2" t="n">
        <v>628</v>
      </c>
      <c r="O713" s="2" t="n">
        <v>1325</v>
      </c>
      <c r="Q713" s="2" t="n">
        <f aca="false">F713+G713+H713</f>
        <v>2771</v>
      </c>
    </row>
    <row r="714" customFormat="false" ht="12.8" hidden="false" customHeight="false" outlineLevel="0" collapsed="false">
      <c r="A714" s="2" t="s">
        <v>243</v>
      </c>
      <c r="B714" s="2" t="s">
        <v>264</v>
      </c>
      <c r="C714" s="2" t="s">
        <v>217</v>
      </c>
      <c r="D714" s="2" t="n">
        <v>2007</v>
      </c>
      <c r="E714" s="2" t="n">
        <v>1</v>
      </c>
      <c r="F714" s="2" t="n">
        <v>499</v>
      </c>
      <c r="G714" s="2" t="n">
        <v>770</v>
      </c>
      <c r="H714" s="2" t="n">
        <v>2003</v>
      </c>
      <c r="I714" s="2" t="n">
        <v>1753</v>
      </c>
      <c r="J714" s="2" t="n">
        <v>46</v>
      </c>
      <c r="K714" s="2" t="n">
        <v>1477</v>
      </c>
      <c r="L714" s="2" t="n">
        <v>124</v>
      </c>
      <c r="M714" s="2" t="n">
        <v>308</v>
      </c>
      <c r="N714" s="2" t="n">
        <v>860</v>
      </c>
      <c r="O714" s="2" t="n">
        <v>1255</v>
      </c>
      <c r="Q714" s="2" t="n">
        <f aca="false">F714+G714+H714</f>
        <v>3272</v>
      </c>
    </row>
    <row r="715" customFormat="false" ht="12.8" hidden="false" customHeight="false" outlineLevel="0" collapsed="false">
      <c r="A715" s="2" t="s">
        <v>243</v>
      </c>
      <c r="B715" s="2" t="s">
        <v>264</v>
      </c>
      <c r="C715" s="2" t="s">
        <v>218</v>
      </c>
      <c r="D715" s="2" t="n">
        <v>1972</v>
      </c>
      <c r="E715" s="2" t="n">
        <v>1</v>
      </c>
      <c r="F715" s="2" t="n">
        <v>470</v>
      </c>
      <c r="G715" s="2" t="n">
        <v>658</v>
      </c>
      <c r="H715" s="2" t="n">
        <v>1921</v>
      </c>
      <c r="I715" s="2" t="n">
        <v>1750</v>
      </c>
      <c r="J715" s="2" t="n">
        <v>36</v>
      </c>
      <c r="K715" s="2" t="n">
        <v>1425</v>
      </c>
      <c r="L715" s="2" t="n">
        <v>114</v>
      </c>
      <c r="M715" s="2" t="n">
        <v>265</v>
      </c>
      <c r="N715" s="2" t="n">
        <v>792</v>
      </c>
      <c r="O715" s="2" t="n">
        <v>1229</v>
      </c>
      <c r="Q715" s="2" t="n">
        <f aca="false">F715+G715+H715</f>
        <v>3049</v>
      </c>
    </row>
    <row r="716" customFormat="false" ht="12.8" hidden="false" customHeight="false" outlineLevel="0" collapsed="false">
      <c r="A716" s="2" t="s">
        <v>243</v>
      </c>
      <c r="B716" s="2" t="s">
        <v>264</v>
      </c>
      <c r="C716" s="2" t="s">
        <v>219</v>
      </c>
      <c r="D716" s="2" t="n">
        <v>1959</v>
      </c>
      <c r="E716" s="2" t="n">
        <v>1</v>
      </c>
      <c r="F716" s="2" t="n">
        <v>539</v>
      </c>
      <c r="G716" s="2" t="n">
        <v>653</v>
      </c>
      <c r="H716" s="2" t="n">
        <v>1889</v>
      </c>
      <c r="I716" s="2" t="n">
        <v>1716</v>
      </c>
      <c r="J716" s="2" t="n">
        <v>41</v>
      </c>
      <c r="K716" s="2" t="n">
        <v>1346</v>
      </c>
      <c r="L716" s="2" t="n">
        <v>143</v>
      </c>
      <c r="M716" s="2" t="n">
        <v>207</v>
      </c>
      <c r="N716" s="2" t="n">
        <v>800</v>
      </c>
      <c r="O716" s="2" t="n">
        <v>982</v>
      </c>
      <c r="Q716" s="2" t="n">
        <f aca="false">F716+G716+H716</f>
        <v>3081</v>
      </c>
    </row>
    <row r="717" customFormat="false" ht="12.8" hidden="false" customHeight="false" outlineLevel="0" collapsed="false">
      <c r="A717" s="2" t="s">
        <v>243</v>
      </c>
      <c r="B717" s="2" t="s">
        <v>264</v>
      </c>
      <c r="C717" s="2" t="s">
        <v>220</v>
      </c>
      <c r="D717" s="2" t="n">
        <v>1976</v>
      </c>
      <c r="E717" s="2" t="n">
        <v>1</v>
      </c>
      <c r="F717" s="2" t="n">
        <v>634</v>
      </c>
      <c r="G717" s="2" t="n">
        <v>641</v>
      </c>
      <c r="H717" s="2" t="n">
        <v>1931</v>
      </c>
      <c r="I717" s="2" t="n">
        <v>1866</v>
      </c>
      <c r="J717" s="2" t="n">
        <v>56</v>
      </c>
      <c r="K717" s="2" t="n">
        <v>1300</v>
      </c>
      <c r="L717" s="2" t="n">
        <v>108</v>
      </c>
      <c r="M717" s="2" t="n">
        <v>274</v>
      </c>
      <c r="N717" s="2" t="n">
        <v>906</v>
      </c>
      <c r="O717" s="2" t="n">
        <v>1182</v>
      </c>
      <c r="Q717" s="2" t="n">
        <f aca="false">F717+G717+H717</f>
        <v>3206</v>
      </c>
    </row>
    <row r="718" customFormat="false" ht="12.8" hidden="false" customHeight="false" outlineLevel="0" collapsed="false">
      <c r="A718" s="2" t="s">
        <v>243</v>
      </c>
      <c r="B718" s="2" t="s">
        <v>264</v>
      </c>
      <c r="C718" s="2" t="s">
        <v>221</v>
      </c>
      <c r="D718" s="2" t="n">
        <v>1879</v>
      </c>
      <c r="E718" s="2" t="n">
        <v>1</v>
      </c>
      <c r="F718" s="2" t="n">
        <v>461</v>
      </c>
      <c r="G718" s="2" t="n">
        <v>631</v>
      </c>
      <c r="H718" s="2" t="n">
        <v>1924</v>
      </c>
      <c r="I718" s="2" t="n">
        <v>1639</v>
      </c>
      <c r="J718" s="2" t="n">
        <v>43</v>
      </c>
      <c r="K718" s="2" t="n">
        <v>1365</v>
      </c>
      <c r="L718" s="2" t="n">
        <v>102</v>
      </c>
      <c r="M718" s="2" t="n">
        <v>259</v>
      </c>
      <c r="N718" s="2" t="n">
        <v>780</v>
      </c>
      <c r="O718" s="2" t="n">
        <v>1055</v>
      </c>
      <c r="Q718" s="2" t="n">
        <f aca="false">F718+G718+H718</f>
        <v>3016</v>
      </c>
    </row>
    <row r="719" customFormat="false" ht="12.8" hidden="false" customHeight="false" outlineLevel="0" collapsed="false">
      <c r="A719" s="2" t="s">
        <v>243</v>
      </c>
      <c r="B719" s="2" t="s">
        <v>264</v>
      </c>
      <c r="C719" s="2" t="s">
        <v>222</v>
      </c>
      <c r="D719" s="2" t="n">
        <v>1784</v>
      </c>
      <c r="E719" s="2" t="n">
        <v>1</v>
      </c>
      <c r="F719" s="2" t="n">
        <v>465</v>
      </c>
      <c r="G719" s="2" t="n">
        <v>681</v>
      </c>
      <c r="H719" s="2" t="n">
        <v>1858</v>
      </c>
      <c r="I719" s="2" t="n">
        <v>1580</v>
      </c>
      <c r="J719" s="2" t="n">
        <v>0</v>
      </c>
      <c r="K719" s="2" t="n">
        <v>1341</v>
      </c>
      <c r="L719" s="2" t="n">
        <v>177</v>
      </c>
      <c r="M719" s="2" t="n">
        <v>228</v>
      </c>
      <c r="N719" s="2" t="n">
        <v>769</v>
      </c>
      <c r="O719" s="2" t="n">
        <v>1040</v>
      </c>
      <c r="Q719" s="2" t="n">
        <f aca="false">F719+G719+H719</f>
        <v>3004</v>
      </c>
    </row>
    <row r="720" customFormat="false" ht="12.8" hidden="false" customHeight="false" outlineLevel="0" collapsed="false">
      <c r="A720" s="2" t="s">
        <v>243</v>
      </c>
      <c r="B720" s="2" t="s">
        <v>264</v>
      </c>
      <c r="C720" s="2" t="s">
        <v>223</v>
      </c>
      <c r="D720" s="2" t="n">
        <v>2010</v>
      </c>
      <c r="E720" s="2" t="n">
        <v>1</v>
      </c>
      <c r="F720" s="2" t="n">
        <v>462</v>
      </c>
      <c r="G720" s="2" t="n">
        <v>662</v>
      </c>
      <c r="H720" s="2" t="n">
        <v>2112</v>
      </c>
      <c r="I720" s="2" t="n">
        <v>1855</v>
      </c>
      <c r="J720" s="2" t="n">
        <v>19</v>
      </c>
      <c r="K720" s="2" t="n">
        <v>1439</v>
      </c>
      <c r="L720" s="2" t="n">
        <v>110</v>
      </c>
      <c r="M720" s="2" t="n">
        <v>253</v>
      </c>
      <c r="N720" s="2" t="n">
        <v>874</v>
      </c>
      <c r="O720" s="2" t="n">
        <v>1252</v>
      </c>
      <c r="Q720" s="2" t="n">
        <f aca="false">F720+G720+H720</f>
        <v>3236</v>
      </c>
    </row>
    <row r="721" customFormat="false" ht="12.8" hidden="false" customHeight="false" outlineLevel="0" collapsed="false">
      <c r="A721" s="2" t="s">
        <v>243</v>
      </c>
      <c r="B721" s="2" t="s">
        <v>264</v>
      </c>
      <c r="C721" s="2" t="s">
        <v>224</v>
      </c>
      <c r="D721" s="2" t="n">
        <v>1998</v>
      </c>
      <c r="E721" s="2" t="n">
        <v>1</v>
      </c>
      <c r="F721" s="2" t="n">
        <v>437</v>
      </c>
      <c r="G721" s="2" t="n">
        <v>583</v>
      </c>
      <c r="H721" s="2" t="n">
        <v>2017</v>
      </c>
      <c r="I721" s="2" t="n">
        <v>1877</v>
      </c>
      <c r="J721" s="2" t="n">
        <v>13</v>
      </c>
      <c r="K721" s="2" t="n">
        <v>1285</v>
      </c>
      <c r="L721" s="2" t="n">
        <v>100</v>
      </c>
      <c r="M721" s="2" t="n">
        <v>212</v>
      </c>
      <c r="N721" s="2" t="n">
        <v>861</v>
      </c>
      <c r="O721" s="2" t="n">
        <v>1226</v>
      </c>
      <c r="Q721" s="2" t="n">
        <f aca="false">F721+G721+H721</f>
        <v>3037</v>
      </c>
    </row>
    <row r="722" customFormat="false" ht="12.8" hidden="false" customHeight="false" outlineLevel="0" collapsed="false">
      <c r="A722" s="2" t="s">
        <v>244</v>
      </c>
      <c r="B722" s="2" t="s">
        <v>264</v>
      </c>
      <c r="C722" s="2" t="s">
        <v>212</v>
      </c>
      <c r="D722" s="2" t="n">
        <v>261</v>
      </c>
      <c r="E722" s="2" t="n">
        <v>0</v>
      </c>
      <c r="F722" s="2" t="n">
        <v>0</v>
      </c>
      <c r="G722" s="2" t="n">
        <v>108</v>
      </c>
      <c r="H722" s="2" t="n">
        <v>196</v>
      </c>
      <c r="I722" s="2" t="n">
        <v>231</v>
      </c>
      <c r="J722" s="2" t="n">
        <v>19</v>
      </c>
      <c r="K722" s="2" t="n">
        <v>0</v>
      </c>
      <c r="L722" s="2" t="n">
        <v>23</v>
      </c>
      <c r="M722" s="2" t="n">
        <v>50</v>
      </c>
      <c r="N722" s="2" t="n">
        <v>125</v>
      </c>
      <c r="O722" s="2" t="n">
        <v>199</v>
      </c>
      <c r="Q722" s="2" t="n">
        <f aca="false">F722+G722+H722</f>
        <v>304</v>
      </c>
    </row>
    <row r="723" customFormat="false" ht="12.8" hidden="false" customHeight="false" outlineLevel="0" collapsed="false">
      <c r="A723" s="2" t="s">
        <v>244</v>
      </c>
      <c r="B723" s="2" t="s">
        <v>264</v>
      </c>
      <c r="C723" s="2" t="s">
        <v>217</v>
      </c>
      <c r="D723" s="2" t="n">
        <v>310</v>
      </c>
      <c r="E723" s="2" t="n">
        <v>0</v>
      </c>
      <c r="F723" s="2" t="n">
        <v>0</v>
      </c>
      <c r="G723" s="2" t="n">
        <v>131</v>
      </c>
      <c r="H723" s="2" t="n">
        <v>271</v>
      </c>
      <c r="I723" s="2" t="n">
        <v>343</v>
      </c>
      <c r="J723" s="2" t="n">
        <v>1</v>
      </c>
      <c r="K723" s="2" t="n">
        <v>0</v>
      </c>
      <c r="L723" s="2" t="n">
        <v>5</v>
      </c>
      <c r="M723" s="2" t="n">
        <v>57</v>
      </c>
      <c r="N723" s="2" t="n">
        <v>211</v>
      </c>
      <c r="O723" s="2" t="n">
        <v>229</v>
      </c>
      <c r="Q723" s="2" t="n">
        <f aca="false">F723+G723+H723</f>
        <v>402</v>
      </c>
    </row>
    <row r="724" customFormat="false" ht="12.8" hidden="false" customHeight="false" outlineLevel="0" collapsed="false">
      <c r="A724" s="2" t="s">
        <v>244</v>
      </c>
      <c r="B724" s="2" t="s">
        <v>264</v>
      </c>
      <c r="C724" s="2" t="s">
        <v>218</v>
      </c>
      <c r="D724" s="2" t="n">
        <v>335</v>
      </c>
      <c r="E724" s="2" t="n">
        <v>0</v>
      </c>
      <c r="F724" s="2" t="n">
        <v>0</v>
      </c>
      <c r="G724" s="2" t="n">
        <v>114</v>
      </c>
      <c r="H724" s="2" t="n">
        <v>296</v>
      </c>
      <c r="I724" s="2" t="n">
        <v>359</v>
      </c>
      <c r="J724" s="2" t="n">
        <v>7</v>
      </c>
      <c r="K724" s="2" t="n">
        <v>0</v>
      </c>
      <c r="L724" s="2" t="n">
        <v>14</v>
      </c>
      <c r="M724" s="2" t="n">
        <v>40</v>
      </c>
      <c r="N724" s="2" t="n">
        <v>255</v>
      </c>
      <c r="O724" s="2" t="n">
        <v>188</v>
      </c>
      <c r="Q724" s="2" t="n">
        <f aca="false">F724+G724+H724</f>
        <v>410</v>
      </c>
    </row>
    <row r="725" customFormat="false" ht="12.8" hidden="false" customHeight="false" outlineLevel="0" collapsed="false">
      <c r="A725" s="2" t="s">
        <v>244</v>
      </c>
      <c r="B725" s="2" t="s">
        <v>264</v>
      </c>
      <c r="C725" s="2" t="s">
        <v>219</v>
      </c>
      <c r="D725" s="2" t="n">
        <v>286</v>
      </c>
      <c r="E725" s="2" t="n">
        <v>1</v>
      </c>
      <c r="F725" s="2" t="n">
        <v>0</v>
      </c>
      <c r="G725" s="2" t="n">
        <v>108</v>
      </c>
      <c r="H725" s="2" t="n">
        <v>255</v>
      </c>
      <c r="I725" s="2" t="n">
        <v>303</v>
      </c>
      <c r="J725" s="2" t="n">
        <v>9</v>
      </c>
      <c r="K725" s="2" t="n">
        <v>6</v>
      </c>
      <c r="L725" s="2" t="n">
        <v>8</v>
      </c>
      <c r="M725" s="2" t="n">
        <v>47</v>
      </c>
      <c r="N725" s="2" t="n">
        <v>230</v>
      </c>
      <c r="O725" s="2" t="n">
        <v>191</v>
      </c>
      <c r="Q725" s="2" t="n">
        <f aca="false">F725+G725+H725</f>
        <v>363</v>
      </c>
    </row>
    <row r="726" customFormat="false" ht="12.8" hidden="false" customHeight="false" outlineLevel="0" collapsed="false">
      <c r="A726" s="2" t="s">
        <v>244</v>
      </c>
      <c r="B726" s="2" t="s">
        <v>264</v>
      </c>
      <c r="C726" s="2" t="s">
        <v>220</v>
      </c>
      <c r="D726" s="2" t="n">
        <v>275</v>
      </c>
      <c r="E726" s="2" t="n">
        <v>0</v>
      </c>
      <c r="F726" s="2" t="n">
        <v>0</v>
      </c>
      <c r="G726" s="2" t="n">
        <v>101</v>
      </c>
      <c r="H726" s="2" t="n">
        <v>244</v>
      </c>
      <c r="I726" s="2" t="n">
        <v>258</v>
      </c>
      <c r="J726" s="2" t="n">
        <v>17</v>
      </c>
      <c r="K726" s="2" t="n">
        <v>0</v>
      </c>
      <c r="L726" s="2" t="n">
        <v>15</v>
      </c>
      <c r="M726" s="2" t="n">
        <v>61</v>
      </c>
      <c r="N726" s="2" t="n">
        <v>173</v>
      </c>
      <c r="O726" s="2" t="n">
        <v>186</v>
      </c>
      <c r="Q726" s="2" t="n">
        <f aca="false">F726+G726+H726</f>
        <v>345</v>
      </c>
    </row>
    <row r="727" customFormat="false" ht="12.8" hidden="false" customHeight="false" outlineLevel="0" collapsed="false">
      <c r="A727" s="2" t="s">
        <v>244</v>
      </c>
      <c r="B727" s="2" t="s">
        <v>264</v>
      </c>
      <c r="C727" s="2" t="s">
        <v>221</v>
      </c>
      <c r="D727" s="2" t="n">
        <v>209</v>
      </c>
      <c r="E727" s="2" t="n">
        <v>0</v>
      </c>
      <c r="F727" s="2" t="n">
        <v>0</v>
      </c>
      <c r="G727" s="2" t="n">
        <v>88</v>
      </c>
      <c r="H727" s="2" t="n">
        <v>177</v>
      </c>
      <c r="I727" s="2" t="n">
        <v>190</v>
      </c>
      <c r="J727" s="2" t="n">
        <v>11</v>
      </c>
      <c r="K727" s="2" t="n">
        <v>0</v>
      </c>
      <c r="L727" s="2" t="n">
        <v>11</v>
      </c>
      <c r="M727" s="2" t="n">
        <v>62</v>
      </c>
      <c r="N727" s="2" t="n">
        <v>131</v>
      </c>
      <c r="O727" s="2" t="n">
        <v>111</v>
      </c>
      <c r="Q727" s="2" t="n">
        <f aca="false">F727+G727+H727</f>
        <v>265</v>
      </c>
    </row>
    <row r="728" customFormat="false" ht="12.8" hidden="false" customHeight="false" outlineLevel="0" collapsed="false">
      <c r="A728" s="2" t="s">
        <v>244</v>
      </c>
      <c r="B728" s="2" t="s">
        <v>264</v>
      </c>
      <c r="C728" s="2" t="s">
        <v>222</v>
      </c>
      <c r="D728" s="2" t="n">
        <v>424</v>
      </c>
      <c r="E728" s="2" t="n">
        <v>1</v>
      </c>
      <c r="F728" s="2" t="n">
        <v>0</v>
      </c>
      <c r="G728" s="2" t="n">
        <v>201</v>
      </c>
      <c r="H728" s="2" t="n">
        <v>402</v>
      </c>
      <c r="I728" s="2" t="n">
        <v>489</v>
      </c>
      <c r="J728" s="2" t="n">
        <v>0</v>
      </c>
      <c r="K728" s="2" t="n">
        <v>141</v>
      </c>
      <c r="L728" s="2" t="n">
        <v>28</v>
      </c>
      <c r="M728" s="2" t="n">
        <v>75</v>
      </c>
      <c r="N728" s="2" t="n">
        <v>374</v>
      </c>
      <c r="O728" s="2" t="n">
        <v>238</v>
      </c>
      <c r="Q728" s="2" t="n">
        <f aca="false">F728+G728+H728</f>
        <v>603</v>
      </c>
    </row>
    <row r="729" customFormat="false" ht="12.8" hidden="false" customHeight="false" outlineLevel="0" collapsed="false">
      <c r="A729" s="2" t="s">
        <v>244</v>
      </c>
      <c r="B729" s="2" t="s">
        <v>264</v>
      </c>
      <c r="C729" s="2" t="s">
        <v>223</v>
      </c>
      <c r="D729" s="2" t="n">
        <v>467</v>
      </c>
      <c r="E729" s="2" t="n">
        <v>2</v>
      </c>
      <c r="F729" s="2" t="n">
        <v>0</v>
      </c>
      <c r="G729" s="2" t="n">
        <v>221</v>
      </c>
      <c r="H729" s="2" t="n">
        <v>468</v>
      </c>
      <c r="I729" s="2" t="n">
        <v>519</v>
      </c>
      <c r="J729" s="2" t="n">
        <v>4</v>
      </c>
      <c r="K729" s="2" t="n">
        <v>325</v>
      </c>
      <c r="L729" s="2" t="n">
        <v>85</v>
      </c>
      <c r="M729" s="2" t="n">
        <v>64</v>
      </c>
      <c r="N729" s="2" t="n">
        <v>555</v>
      </c>
      <c r="O729" s="2" t="n">
        <v>251</v>
      </c>
      <c r="Q729" s="2" t="n">
        <f aca="false">F729+G729+H729</f>
        <v>689</v>
      </c>
    </row>
    <row r="730" customFormat="false" ht="12.8" hidden="false" customHeight="false" outlineLevel="0" collapsed="false">
      <c r="A730" s="2" t="s">
        <v>244</v>
      </c>
      <c r="B730" s="2" t="s">
        <v>264</v>
      </c>
      <c r="C730" s="2" t="s">
        <v>224</v>
      </c>
      <c r="D730" s="2" t="n">
        <v>472</v>
      </c>
      <c r="E730" s="2" t="n">
        <v>1</v>
      </c>
      <c r="F730" s="2" t="n">
        <v>0</v>
      </c>
      <c r="G730" s="2" t="n">
        <v>191</v>
      </c>
      <c r="H730" s="2" t="n">
        <v>444</v>
      </c>
      <c r="I730" s="2" t="n">
        <v>517</v>
      </c>
      <c r="J730" s="2" t="n">
        <v>3</v>
      </c>
      <c r="K730" s="2" t="n">
        <v>291</v>
      </c>
      <c r="L730" s="2" t="n">
        <v>53</v>
      </c>
      <c r="M730" s="2" t="n">
        <v>64</v>
      </c>
      <c r="N730" s="2" t="n">
        <v>514</v>
      </c>
      <c r="O730" s="2" t="n">
        <v>262</v>
      </c>
      <c r="Q730" s="2" t="n">
        <f aca="false">F730+G730+H730</f>
        <v>635</v>
      </c>
    </row>
    <row r="731" customFormat="false" ht="12.8" hidden="false" customHeight="false" outlineLevel="0" collapsed="false">
      <c r="A731" s="2" t="s">
        <v>245</v>
      </c>
      <c r="B731" s="2" t="s">
        <v>264</v>
      </c>
      <c r="C731" s="2" t="s">
        <v>212</v>
      </c>
      <c r="D731" s="2" t="n">
        <v>1620</v>
      </c>
      <c r="E731" s="2" t="n">
        <v>10</v>
      </c>
      <c r="F731" s="2" t="n">
        <v>0</v>
      </c>
      <c r="G731" s="2" t="n">
        <v>586</v>
      </c>
      <c r="H731" s="2" t="n">
        <v>1315</v>
      </c>
      <c r="I731" s="2" t="n">
        <v>1232</v>
      </c>
      <c r="J731" s="2" t="n">
        <v>136</v>
      </c>
      <c r="K731" s="2" t="n">
        <v>1558</v>
      </c>
      <c r="L731" s="2" t="n">
        <v>0</v>
      </c>
      <c r="M731" s="2" t="n">
        <v>3</v>
      </c>
      <c r="N731" s="2" t="n">
        <v>351</v>
      </c>
      <c r="O731" s="2" t="n">
        <v>1423</v>
      </c>
      <c r="Q731" s="2" t="n">
        <f aca="false">F731+G731+H731</f>
        <v>1901</v>
      </c>
    </row>
    <row r="732" customFormat="false" ht="12.8" hidden="false" customHeight="false" outlineLevel="0" collapsed="false">
      <c r="A732" s="2" t="s">
        <v>245</v>
      </c>
      <c r="B732" s="2" t="s">
        <v>264</v>
      </c>
      <c r="C732" s="2" t="s">
        <v>217</v>
      </c>
      <c r="D732" s="2" t="n">
        <v>1985</v>
      </c>
      <c r="E732" s="2" t="n">
        <v>20</v>
      </c>
      <c r="F732" s="2" t="n">
        <v>0</v>
      </c>
      <c r="G732" s="2" t="n">
        <v>564</v>
      </c>
      <c r="H732" s="2" t="n">
        <v>1822</v>
      </c>
      <c r="I732" s="2" t="n">
        <v>1556</v>
      </c>
      <c r="J732" s="2" t="n">
        <v>148</v>
      </c>
      <c r="K732" s="2" t="n">
        <v>1904</v>
      </c>
      <c r="L732" s="2" t="n">
        <v>0</v>
      </c>
      <c r="M732" s="2" t="n">
        <v>23</v>
      </c>
      <c r="N732" s="2" t="n">
        <v>493</v>
      </c>
      <c r="O732" s="2" t="n">
        <v>1499</v>
      </c>
      <c r="Q732" s="2" t="n">
        <f aca="false">F732+G732+H732</f>
        <v>2386</v>
      </c>
    </row>
    <row r="733" customFormat="false" ht="12.8" hidden="false" customHeight="false" outlineLevel="0" collapsed="false">
      <c r="A733" s="2" t="s">
        <v>245</v>
      </c>
      <c r="B733" s="2" t="s">
        <v>264</v>
      </c>
      <c r="C733" s="2" t="s">
        <v>218</v>
      </c>
      <c r="D733" s="2" t="n">
        <v>1986</v>
      </c>
      <c r="E733" s="2" t="n">
        <v>21</v>
      </c>
      <c r="F733" s="2" t="n">
        <v>0</v>
      </c>
      <c r="G733" s="2" t="n">
        <v>623</v>
      </c>
      <c r="H733" s="2" t="n">
        <v>1877</v>
      </c>
      <c r="I733" s="2" t="n">
        <v>1632</v>
      </c>
      <c r="J733" s="2" t="n">
        <v>92</v>
      </c>
      <c r="K733" s="2" t="n">
        <v>2213</v>
      </c>
      <c r="L733" s="2" t="n">
        <v>0</v>
      </c>
      <c r="M733" s="2" t="n">
        <v>28</v>
      </c>
      <c r="N733" s="2" t="n">
        <v>600</v>
      </c>
      <c r="O733" s="2" t="n">
        <v>1511</v>
      </c>
      <c r="Q733" s="2" t="n">
        <f aca="false">F733+G733+H733</f>
        <v>2500</v>
      </c>
    </row>
    <row r="734" customFormat="false" ht="12.8" hidden="false" customHeight="false" outlineLevel="0" collapsed="false">
      <c r="A734" s="2" t="s">
        <v>245</v>
      </c>
      <c r="B734" s="2" t="s">
        <v>264</v>
      </c>
      <c r="C734" s="2" t="s">
        <v>219</v>
      </c>
      <c r="D734" s="2" t="n">
        <v>1937</v>
      </c>
      <c r="E734" s="2" t="n">
        <v>32</v>
      </c>
      <c r="F734" s="2" t="n">
        <v>0</v>
      </c>
      <c r="G734" s="2" t="n">
        <v>735</v>
      </c>
      <c r="H734" s="2" t="n">
        <v>1671</v>
      </c>
      <c r="I734" s="2" t="n">
        <v>1325</v>
      </c>
      <c r="J734" s="2" t="n">
        <v>191</v>
      </c>
      <c r="K734" s="2" t="n">
        <v>2177</v>
      </c>
      <c r="L734" s="2" t="n">
        <v>0</v>
      </c>
      <c r="M734" s="2" t="n">
        <v>22</v>
      </c>
      <c r="N734" s="2" t="n">
        <v>662</v>
      </c>
      <c r="O734" s="2" t="n">
        <v>1333</v>
      </c>
      <c r="Q734" s="2" t="n">
        <f aca="false">F734+G734+H734</f>
        <v>2406</v>
      </c>
    </row>
    <row r="735" customFormat="false" ht="12.8" hidden="false" customHeight="false" outlineLevel="0" collapsed="false">
      <c r="A735" s="2" t="s">
        <v>245</v>
      </c>
      <c r="B735" s="2" t="s">
        <v>264</v>
      </c>
      <c r="C735" s="2" t="s">
        <v>220</v>
      </c>
      <c r="D735" s="2" t="n">
        <v>1942</v>
      </c>
      <c r="E735" s="2" t="n">
        <v>30</v>
      </c>
      <c r="F735" s="2" t="n">
        <v>0</v>
      </c>
      <c r="G735" s="2" t="n">
        <v>760</v>
      </c>
      <c r="H735" s="2" t="n">
        <v>1688</v>
      </c>
      <c r="I735" s="2" t="n">
        <v>1338</v>
      </c>
      <c r="J735" s="2" t="n">
        <v>246</v>
      </c>
      <c r="K735" s="2" t="n">
        <v>2199</v>
      </c>
      <c r="L735" s="2" t="n">
        <v>0</v>
      </c>
      <c r="M735" s="2" t="n">
        <v>32</v>
      </c>
      <c r="N735" s="2" t="n">
        <v>708</v>
      </c>
      <c r="O735" s="2" t="n">
        <v>1515</v>
      </c>
      <c r="Q735" s="2" t="n">
        <f aca="false">F735+G735+H735</f>
        <v>2448</v>
      </c>
    </row>
    <row r="736" customFormat="false" ht="12.8" hidden="false" customHeight="false" outlineLevel="0" collapsed="false">
      <c r="A736" s="2" t="s">
        <v>245</v>
      </c>
      <c r="B736" s="2" t="s">
        <v>264</v>
      </c>
      <c r="C736" s="2" t="s">
        <v>221</v>
      </c>
      <c r="D736" s="2" t="n">
        <v>1935</v>
      </c>
      <c r="E736" s="2" t="n">
        <v>8</v>
      </c>
      <c r="F736" s="2" t="n">
        <v>0</v>
      </c>
      <c r="G736" s="2" t="n">
        <v>767</v>
      </c>
      <c r="H736" s="2" t="n">
        <v>1598</v>
      </c>
      <c r="I736" s="2" t="n">
        <v>1510</v>
      </c>
      <c r="J736" s="2" t="n">
        <v>165</v>
      </c>
      <c r="K736" s="2" t="n">
        <v>1992</v>
      </c>
      <c r="L736" s="2" t="n">
        <v>0</v>
      </c>
      <c r="M736" s="2" t="n">
        <v>10</v>
      </c>
      <c r="N736" s="2" t="n">
        <v>338</v>
      </c>
      <c r="O736" s="2" t="n">
        <v>1411</v>
      </c>
      <c r="Q736" s="2" t="n">
        <f aca="false">F736+G736+H736</f>
        <v>2365</v>
      </c>
    </row>
    <row r="737" customFormat="false" ht="12.8" hidden="false" customHeight="false" outlineLevel="0" collapsed="false">
      <c r="A737" s="2" t="s">
        <v>245</v>
      </c>
      <c r="B737" s="2" t="s">
        <v>264</v>
      </c>
      <c r="C737" s="2" t="s">
        <v>222</v>
      </c>
      <c r="D737" s="2" t="n">
        <v>2199</v>
      </c>
      <c r="E737" s="2" t="n">
        <v>26</v>
      </c>
      <c r="F737" s="2" t="n">
        <v>0</v>
      </c>
      <c r="G737" s="2" t="n">
        <v>983</v>
      </c>
      <c r="H737" s="2" t="n">
        <v>1671</v>
      </c>
      <c r="I737" s="2" t="n">
        <v>1549</v>
      </c>
      <c r="J737" s="2" t="n">
        <v>184</v>
      </c>
      <c r="K737" s="2" t="n">
        <v>2232</v>
      </c>
      <c r="L737" s="2" t="n">
        <v>0</v>
      </c>
      <c r="M737" s="2" t="n">
        <v>29</v>
      </c>
      <c r="N737" s="2" t="n">
        <v>174</v>
      </c>
      <c r="O737" s="2" t="n">
        <v>1409</v>
      </c>
      <c r="Q737" s="2" t="n">
        <f aca="false">F737+G737+H737</f>
        <v>2654</v>
      </c>
    </row>
    <row r="738" customFormat="false" ht="12.8" hidden="false" customHeight="false" outlineLevel="0" collapsed="false">
      <c r="A738" s="2" t="s">
        <v>245</v>
      </c>
      <c r="B738" s="2" t="s">
        <v>264</v>
      </c>
      <c r="C738" s="2" t="s">
        <v>223</v>
      </c>
      <c r="D738" s="2" t="n">
        <v>2271</v>
      </c>
      <c r="E738" s="2" t="n">
        <v>19</v>
      </c>
      <c r="F738" s="2" t="n">
        <v>0</v>
      </c>
      <c r="G738" s="2" t="n">
        <v>973</v>
      </c>
      <c r="H738" s="2" t="n">
        <v>1755</v>
      </c>
      <c r="I738" s="2" t="n">
        <v>1599</v>
      </c>
      <c r="J738" s="2" t="n">
        <v>268</v>
      </c>
      <c r="K738" s="2" t="n">
        <v>2231</v>
      </c>
      <c r="L738" s="2" t="n">
        <v>0</v>
      </c>
      <c r="M738" s="2" t="n">
        <v>39</v>
      </c>
      <c r="N738" s="2" t="n">
        <v>277</v>
      </c>
      <c r="O738" s="2" t="n">
        <v>1448</v>
      </c>
      <c r="Q738" s="2" t="n">
        <f aca="false">F738+G738+H738</f>
        <v>2728</v>
      </c>
    </row>
    <row r="739" customFormat="false" ht="12.8" hidden="false" customHeight="false" outlineLevel="0" collapsed="false">
      <c r="A739" s="2" t="s">
        <v>245</v>
      </c>
      <c r="B739" s="2" t="s">
        <v>264</v>
      </c>
      <c r="C739" s="2" t="s">
        <v>224</v>
      </c>
      <c r="D739" s="2" t="n">
        <v>2254</v>
      </c>
      <c r="E739" s="2" t="n">
        <v>23</v>
      </c>
      <c r="F739" s="2" t="n">
        <v>0</v>
      </c>
      <c r="G739" s="2" t="n">
        <v>879</v>
      </c>
      <c r="H739" s="2" t="n">
        <v>1936</v>
      </c>
      <c r="I739" s="2" t="n">
        <v>1748</v>
      </c>
      <c r="J739" s="2" t="n">
        <v>288</v>
      </c>
      <c r="K739" s="2" t="n">
        <v>2188</v>
      </c>
      <c r="L739" s="2" t="n">
        <v>0</v>
      </c>
      <c r="M739" s="2" t="n">
        <v>54</v>
      </c>
      <c r="N739" s="2" t="n">
        <v>279</v>
      </c>
      <c r="O739" s="2" t="n">
        <v>1475</v>
      </c>
      <c r="Q739" s="2" t="n">
        <f aca="false">F739+G739+H739</f>
        <v>2815</v>
      </c>
    </row>
    <row r="740" customFormat="false" ht="12.8" hidden="false" customHeight="false" outlineLevel="0" collapsed="false">
      <c r="A740" s="2" t="s">
        <v>246</v>
      </c>
      <c r="B740" s="2" t="s">
        <v>264</v>
      </c>
      <c r="C740" s="2" t="s">
        <v>212</v>
      </c>
      <c r="D740" s="2" t="n">
        <v>1376</v>
      </c>
      <c r="E740" s="2" t="n">
        <v>0</v>
      </c>
      <c r="F740" s="2" t="n">
        <v>0</v>
      </c>
      <c r="G740" s="2" t="n">
        <v>1334</v>
      </c>
      <c r="H740" s="2" t="n">
        <v>313</v>
      </c>
      <c r="I740" s="2" t="n">
        <v>914</v>
      </c>
      <c r="J740" s="2" t="n">
        <v>753</v>
      </c>
      <c r="K740" s="2" t="n">
        <v>2534</v>
      </c>
      <c r="L740" s="2" t="n">
        <v>0</v>
      </c>
      <c r="M740" s="2" t="n">
        <v>47</v>
      </c>
      <c r="N740" s="2" t="n">
        <v>137</v>
      </c>
      <c r="O740" s="2" t="n">
        <v>1563</v>
      </c>
      <c r="Q740" s="2" t="n">
        <f aca="false">F740+G740+H740</f>
        <v>1647</v>
      </c>
    </row>
    <row r="741" customFormat="false" ht="12.8" hidden="false" customHeight="false" outlineLevel="0" collapsed="false">
      <c r="A741" s="2" t="s">
        <v>246</v>
      </c>
      <c r="B741" s="2" t="s">
        <v>264</v>
      </c>
      <c r="C741" s="2" t="s">
        <v>217</v>
      </c>
      <c r="D741" s="2" t="n">
        <v>1355</v>
      </c>
      <c r="E741" s="2" t="n">
        <v>0</v>
      </c>
      <c r="F741" s="2" t="n">
        <v>0</v>
      </c>
      <c r="G741" s="2" t="n">
        <v>1401</v>
      </c>
      <c r="H741" s="2" t="n">
        <v>333</v>
      </c>
      <c r="I741" s="2" t="n">
        <v>863</v>
      </c>
      <c r="J741" s="2" t="n">
        <v>872</v>
      </c>
      <c r="K741" s="2" t="n">
        <v>2716</v>
      </c>
      <c r="L741" s="2" t="n">
        <v>0</v>
      </c>
      <c r="M741" s="2" t="n">
        <v>46</v>
      </c>
      <c r="N741" s="2" t="n">
        <v>133</v>
      </c>
      <c r="O741" s="2" t="n">
        <v>1364</v>
      </c>
      <c r="Q741" s="2" t="n">
        <f aca="false">F741+G741+H741</f>
        <v>1734</v>
      </c>
    </row>
    <row r="742" customFormat="false" ht="12.8" hidden="false" customHeight="false" outlineLevel="0" collapsed="false">
      <c r="A742" s="2" t="s">
        <v>246</v>
      </c>
      <c r="B742" s="2" t="s">
        <v>264</v>
      </c>
      <c r="C742" s="2" t="s">
        <v>218</v>
      </c>
      <c r="D742" s="2" t="n">
        <v>1356</v>
      </c>
      <c r="E742" s="2" t="n">
        <v>0</v>
      </c>
      <c r="F742" s="2" t="n">
        <v>0</v>
      </c>
      <c r="G742" s="2" t="n">
        <v>1411</v>
      </c>
      <c r="H742" s="2" t="n">
        <v>350</v>
      </c>
      <c r="I742" s="2" t="n">
        <v>955</v>
      </c>
      <c r="J742" s="2" t="n">
        <v>799</v>
      </c>
      <c r="K742" s="2" t="n">
        <v>2571</v>
      </c>
      <c r="L742" s="2" t="n">
        <v>0</v>
      </c>
      <c r="M742" s="2" t="n">
        <v>47</v>
      </c>
      <c r="N742" s="2" t="n">
        <v>141</v>
      </c>
      <c r="O742" s="2" t="n">
        <v>1191</v>
      </c>
      <c r="Q742" s="2" t="n">
        <f aca="false">F742+G742+H742</f>
        <v>1761</v>
      </c>
    </row>
    <row r="743" customFormat="false" ht="12.8" hidden="false" customHeight="false" outlineLevel="0" collapsed="false">
      <c r="A743" s="2" t="s">
        <v>246</v>
      </c>
      <c r="B743" s="2" t="s">
        <v>264</v>
      </c>
      <c r="C743" s="2" t="s">
        <v>219</v>
      </c>
      <c r="D743" s="2" t="n">
        <v>1203</v>
      </c>
      <c r="E743" s="2" t="n">
        <v>0</v>
      </c>
      <c r="F743" s="2" t="n">
        <v>0</v>
      </c>
      <c r="G743" s="2" t="n">
        <v>1264</v>
      </c>
      <c r="H743" s="2" t="n">
        <v>348</v>
      </c>
      <c r="I743" s="2" t="n">
        <v>849</v>
      </c>
      <c r="J743" s="2" t="n">
        <v>883</v>
      </c>
      <c r="K743" s="2" t="n">
        <v>2414</v>
      </c>
      <c r="L743" s="2" t="n">
        <v>0</v>
      </c>
      <c r="M743" s="2" t="n">
        <v>44</v>
      </c>
      <c r="N743" s="2" t="n">
        <v>143</v>
      </c>
      <c r="O743" s="2" t="n">
        <v>1287</v>
      </c>
      <c r="Q743" s="2" t="n">
        <f aca="false">F743+G743+H743</f>
        <v>1612</v>
      </c>
    </row>
    <row r="744" customFormat="false" ht="12.8" hidden="false" customHeight="false" outlineLevel="0" collapsed="false">
      <c r="A744" s="2" t="s">
        <v>246</v>
      </c>
      <c r="B744" s="2" t="s">
        <v>264</v>
      </c>
      <c r="C744" s="2" t="s">
        <v>220</v>
      </c>
      <c r="D744" s="2" t="n">
        <v>1159</v>
      </c>
      <c r="E744" s="2" t="n">
        <v>0</v>
      </c>
      <c r="F744" s="2" t="n">
        <v>0</v>
      </c>
      <c r="G744" s="2" t="n">
        <v>1302</v>
      </c>
      <c r="H744" s="2" t="n">
        <v>305</v>
      </c>
      <c r="I744" s="2" t="n">
        <v>955</v>
      </c>
      <c r="J744" s="2" t="n">
        <v>764</v>
      </c>
      <c r="K744" s="2" t="n">
        <v>2326</v>
      </c>
      <c r="L744" s="2" t="n">
        <v>0</v>
      </c>
      <c r="M744" s="2" t="n">
        <v>43</v>
      </c>
      <c r="N744" s="2" t="n">
        <v>145</v>
      </c>
      <c r="O744" s="2" t="n">
        <v>1353</v>
      </c>
      <c r="Q744" s="2" t="n">
        <f aca="false">F744+G744+H744</f>
        <v>1607</v>
      </c>
    </row>
    <row r="745" customFormat="false" ht="12.8" hidden="false" customHeight="false" outlineLevel="0" collapsed="false">
      <c r="A745" s="2" t="s">
        <v>246</v>
      </c>
      <c r="B745" s="2" t="s">
        <v>264</v>
      </c>
      <c r="C745" s="2" t="s">
        <v>221</v>
      </c>
      <c r="D745" s="2" t="n">
        <v>1142</v>
      </c>
      <c r="E745" s="2" t="n">
        <v>0</v>
      </c>
      <c r="F745" s="2" t="n">
        <v>0</v>
      </c>
      <c r="G745" s="2" t="n">
        <v>1214</v>
      </c>
      <c r="H745" s="2" t="n">
        <v>343</v>
      </c>
      <c r="I745" s="2" t="n">
        <v>889</v>
      </c>
      <c r="J745" s="2" t="n">
        <v>721</v>
      </c>
      <c r="K745" s="2" t="n">
        <v>2354</v>
      </c>
      <c r="L745" s="2" t="n">
        <v>0</v>
      </c>
      <c r="M745" s="2" t="n">
        <v>30</v>
      </c>
      <c r="N745" s="2" t="n">
        <v>114</v>
      </c>
      <c r="O745" s="2" t="n">
        <v>1274</v>
      </c>
      <c r="Q745" s="2" t="n">
        <f aca="false">F745+G745+H745</f>
        <v>1557</v>
      </c>
    </row>
    <row r="746" customFormat="false" ht="12.8" hidden="false" customHeight="false" outlineLevel="0" collapsed="false">
      <c r="A746" s="2" t="s">
        <v>246</v>
      </c>
      <c r="B746" s="2" t="s">
        <v>264</v>
      </c>
      <c r="C746" s="2" t="s">
        <v>222</v>
      </c>
      <c r="D746" s="2" t="n">
        <v>1253</v>
      </c>
      <c r="E746" s="2" t="n">
        <v>0</v>
      </c>
      <c r="F746" s="2" t="n">
        <v>0</v>
      </c>
      <c r="G746" s="2" t="n">
        <v>1449</v>
      </c>
      <c r="H746" s="2" t="n">
        <v>354</v>
      </c>
      <c r="I746" s="2" t="n">
        <v>1042</v>
      </c>
      <c r="J746" s="2" t="n">
        <v>738</v>
      </c>
      <c r="K746" s="2" t="n">
        <v>2548</v>
      </c>
      <c r="L746" s="2" t="n">
        <v>0</v>
      </c>
      <c r="M746" s="2" t="n">
        <v>69</v>
      </c>
      <c r="N746" s="2" t="n">
        <v>188</v>
      </c>
      <c r="O746" s="2" t="n">
        <v>1440</v>
      </c>
      <c r="Q746" s="2" t="n">
        <f aca="false">F746+G746+H746</f>
        <v>1803</v>
      </c>
    </row>
    <row r="747" customFormat="false" ht="12.8" hidden="false" customHeight="false" outlineLevel="0" collapsed="false">
      <c r="A747" s="2" t="s">
        <v>246</v>
      </c>
      <c r="B747" s="2" t="s">
        <v>264</v>
      </c>
      <c r="C747" s="2" t="s">
        <v>223</v>
      </c>
      <c r="D747" s="2" t="n">
        <v>1179</v>
      </c>
      <c r="E747" s="2" t="n">
        <v>0</v>
      </c>
      <c r="F747" s="2" t="n">
        <v>0</v>
      </c>
      <c r="G747" s="2" t="n">
        <v>1409</v>
      </c>
      <c r="H747" s="2" t="n">
        <v>318</v>
      </c>
      <c r="I747" s="2" t="n">
        <v>1052</v>
      </c>
      <c r="J747" s="2" t="n">
        <v>660</v>
      </c>
      <c r="K747" s="2" t="n">
        <v>2585</v>
      </c>
      <c r="L747" s="2" t="n">
        <v>0</v>
      </c>
      <c r="M747" s="2" t="n">
        <v>64</v>
      </c>
      <c r="N747" s="2" t="n">
        <v>142</v>
      </c>
      <c r="O747" s="2" t="n">
        <v>1597</v>
      </c>
      <c r="Q747" s="2" t="n">
        <f aca="false">F747+G747+H747</f>
        <v>1727</v>
      </c>
    </row>
    <row r="748" customFormat="false" ht="12.8" hidden="false" customHeight="false" outlineLevel="0" collapsed="false">
      <c r="A748" s="2" t="s">
        <v>246</v>
      </c>
      <c r="B748" s="2" t="s">
        <v>264</v>
      </c>
      <c r="C748" s="2" t="s">
        <v>224</v>
      </c>
      <c r="D748" s="2" t="n">
        <v>1215</v>
      </c>
      <c r="E748" s="2" t="n">
        <v>0</v>
      </c>
      <c r="F748" s="2" t="n">
        <v>0</v>
      </c>
      <c r="G748" s="2" t="n">
        <v>1486</v>
      </c>
      <c r="H748" s="2" t="n">
        <v>347</v>
      </c>
      <c r="I748" s="2" t="n">
        <v>1174</v>
      </c>
      <c r="J748" s="2" t="n">
        <v>671</v>
      </c>
      <c r="K748" s="2" t="n">
        <v>2713</v>
      </c>
      <c r="L748" s="2" t="n">
        <v>0</v>
      </c>
      <c r="M748" s="2" t="n">
        <v>84</v>
      </c>
      <c r="N748" s="2" t="n">
        <v>139</v>
      </c>
      <c r="O748" s="2" t="n">
        <v>1753</v>
      </c>
      <c r="Q748" s="2" t="n">
        <f aca="false">F748+G748+H748</f>
        <v>1833</v>
      </c>
    </row>
    <row r="749" customFormat="false" ht="12.8" hidden="false" customHeight="false" outlineLevel="0" collapsed="false">
      <c r="A749" s="2" t="s">
        <v>247</v>
      </c>
      <c r="B749" s="2" t="s">
        <v>264</v>
      </c>
      <c r="C749" s="2" t="s">
        <v>212</v>
      </c>
      <c r="D749" s="2" t="n">
        <v>2070</v>
      </c>
      <c r="E749" s="2" t="n">
        <v>0</v>
      </c>
      <c r="F749" s="2" t="n">
        <v>0</v>
      </c>
      <c r="G749" s="2" t="n">
        <v>1816</v>
      </c>
      <c r="H749" s="2" t="n">
        <v>605</v>
      </c>
      <c r="I749" s="2" t="n">
        <v>1420</v>
      </c>
      <c r="J749" s="2" t="n">
        <v>872</v>
      </c>
      <c r="K749" s="2" t="n">
        <v>5136</v>
      </c>
      <c r="L749" s="2" t="n">
        <v>0</v>
      </c>
      <c r="M749" s="2" t="n">
        <v>191</v>
      </c>
      <c r="N749" s="2" t="n">
        <v>96</v>
      </c>
      <c r="O749" s="2" t="n">
        <v>3140</v>
      </c>
      <c r="Q749" s="2" t="n">
        <f aca="false">F749+G749+H749</f>
        <v>2421</v>
      </c>
    </row>
    <row r="750" customFormat="false" ht="12.8" hidden="false" customHeight="false" outlineLevel="0" collapsed="false">
      <c r="A750" s="2" t="s">
        <v>247</v>
      </c>
      <c r="B750" s="2" t="s">
        <v>264</v>
      </c>
      <c r="C750" s="2" t="s">
        <v>217</v>
      </c>
      <c r="D750" s="2" t="n">
        <v>2318</v>
      </c>
      <c r="E750" s="2" t="n">
        <v>0</v>
      </c>
      <c r="F750" s="2" t="n">
        <v>0</v>
      </c>
      <c r="G750" s="2" t="n">
        <v>2085</v>
      </c>
      <c r="H750" s="2" t="n">
        <v>757</v>
      </c>
      <c r="I750" s="2" t="n">
        <v>1950</v>
      </c>
      <c r="J750" s="2" t="n">
        <v>856</v>
      </c>
      <c r="K750" s="2" t="n">
        <v>5974</v>
      </c>
      <c r="L750" s="2" t="n">
        <v>0</v>
      </c>
      <c r="M750" s="2" t="n">
        <v>145</v>
      </c>
      <c r="N750" s="2" t="n">
        <v>129</v>
      </c>
      <c r="O750" s="2" t="n">
        <v>3721</v>
      </c>
      <c r="Q750" s="2" t="n">
        <f aca="false">F750+G750+H750</f>
        <v>2842</v>
      </c>
    </row>
    <row r="751" customFormat="false" ht="12.8" hidden="false" customHeight="false" outlineLevel="0" collapsed="false">
      <c r="A751" s="2" t="s">
        <v>247</v>
      </c>
      <c r="B751" s="2" t="s">
        <v>264</v>
      </c>
      <c r="C751" s="2" t="s">
        <v>218</v>
      </c>
      <c r="D751" s="2" t="n">
        <v>2239</v>
      </c>
      <c r="E751" s="2" t="n">
        <v>0</v>
      </c>
      <c r="F751" s="2" t="n">
        <v>0</v>
      </c>
      <c r="G751" s="2" t="n">
        <v>2070</v>
      </c>
      <c r="H751" s="2" t="n">
        <v>796</v>
      </c>
      <c r="I751" s="2" t="n">
        <v>1818</v>
      </c>
      <c r="J751" s="2" t="n">
        <v>974</v>
      </c>
      <c r="K751" s="2" t="n">
        <v>6004</v>
      </c>
      <c r="L751" s="2" t="n">
        <v>0</v>
      </c>
      <c r="M751" s="2" t="n">
        <v>170</v>
      </c>
      <c r="N751" s="2" t="n">
        <v>147</v>
      </c>
      <c r="O751" s="2" t="n">
        <v>3235</v>
      </c>
      <c r="Q751" s="2" t="n">
        <f aca="false">F751+G751+H751</f>
        <v>2866</v>
      </c>
    </row>
    <row r="752" customFormat="false" ht="12.8" hidden="false" customHeight="false" outlineLevel="0" collapsed="false">
      <c r="A752" s="2" t="s">
        <v>247</v>
      </c>
      <c r="B752" s="2" t="s">
        <v>264</v>
      </c>
      <c r="C752" s="2" t="s">
        <v>219</v>
      </c>
      <c r="D752" s="2" t="n">
        <v>2251</v>
      </c>
      <c r="E752" s="2" t="n">
        <v>0</v>
      </c>
      <c r="F752" s="2" t="n">
        <v>0</v>
      </c>
      <c r="G752" s="2" t="n">
        <v>2155</v>
      </c>
      <c r="H752" s="2" t="n">
        <v>908</v>
      </c>
      <c r="I752" s="2" t="n">
        <v>2054</v>
      </c>
      <c r="J752" s="2" t="n">
        <v>995</v>
      </c>
      <c r="K752" s="2" t="n">
        <v>6246</v>
      </c>
      <c r="L752" s="2" t="n">
        <v>0</v>
      </c>
      <c r="M752" s="2" t="n">
        <v>265</v>
      </c>
      <c r="N752" s="2" t="n">
        <v>154</v>
      </c>
      <c r="O752" s="2" t="n">
        <v>4086</v>
      </c>
      <c r="Q752" s="2" t="n">
        <f aca="false">F752+G752+H752</f>
        <v>3063</v>
      </c>
    </row>
    <row r="753" customFormat="false" ht="12.8" hidden="false" customHeight="false" outlineLevel="0" collapsed="false">
      <c r="A753" s="2" t="s">
        <v>247</v>
      </c>
      <c r="B753" s="2" t="s">
        <v>264</v>
      </c>
      <c r="C753" s="2" t="s">
        <v>220</v>
      </c>
      <c r="D753" s="2" t="n">
        <v>2075</v>
      </c>
      <c r="E753" s="2" t="n">
        <v>0</v>
      </c>
      <c r="F753" s="2" t="n">
        <v>0</v>
      </c>
      <c r="G753" s="2" t="n">
        <v>2170</v>
      </c>
      <c r="H753" s="2" t="n">
        <v>860</v>
      </c>
      <c r="I753" s="2" t="n">
        <v>2281</v>
      </c>
      <c r="J753" s="2" t="n">
        <v>918</v>
      </c>
      <c r="K753" s="2" t="n">
        <v>5984</v>
      </c>
      <c r="L753" s="2" t="n">
        <v>0</v>
      </c>
      <c r="M753" s="2" t="n">
        <v>323</v>
      </c>
      <c r="N753" s="2" t="n">
        <v>161</v>
      </c>
      <c r="O753" s="2" t="n">
        <v>4193</v>
      </c>
      <c r="Q753" s="2" t="n">
        <f aca="false">F753+G753+H753</f>
        <v>3030</v>
      </c>
    </row>
    <row r="754" customFormat="false" ht="12.8" hidden="false" customHeight="false" outlineLevel="0" collapsed="false">
      <c r="A754" s="2" t="s">
        <v>247</v>
      </c>
      <c r="B754" s="2" t="s">
        <v>264</v>
      </c>
      <c r="C754" s="2" t="s">
        <v>221</v>
      </c>
      <c r="D754" s="2" t="n">
        <v>2002</v>
      </c>
      <c r="E754" s="2" t="n">
        <v>0</v>
      </c>
      <c r="F754" s="2" t="n">
        <v>0</v>
      </c>
      <c r="G754" s="2" t="n">
        <v>2133</v>
      </c>
      <c r="H754" s="2" t="n">
        <v>777</v>
      </c>
      <c r="I754" s="2" t="n">
        <v>2074</v>
      </c>
      <c r="J754" s="2" t="n">
        <v>920</v>
      </c>
      <c r="K754" s="2" t="n">
        <v>5872</v>
      </c>
      <c r="L754" s="2" t="n">
        <v>0</v>
      </c>
      <c r="M754" s="2" t="n">
        <v>255</v>
      </c>
      <c r="N754" s="2" t="n">
        <v>155</v>
      </c>
      <c r="O754" s="2" t="n">
        <v>3947</v>
      </c>
      <c r="Q754" s="2" t="n">
        <f aca="false">F754+G754+H754</f>
        <v>2910</v>
      </c>
    </row>
    <row r="755" customFormat="false" ht="12.8" hidden="false" customHeight="false" outlineLevel="0" collapsed="false">
      <c r="A755" s="2" t="s">
        <v>247</v>
      </c>
      <c r="B755" s="2" t="s">
        <v>264</v>
      </c>
      <c r="C755" s="2" t="s">
        <v>222</v>
      </c>
      <c r="D755" s="2" t="n">
        <v>1877</v>
      </c>
      <c r="E755" s="2" t="n">
        <v>0</v>
      </c>
      <c r="F755" s="2" t="n">
        <v>0</v>
      </c>
      <c r="G755" s="2" t="n">
        <v>2038</v>
      </c>
      <c r="H755" s="2" t="n">
        <v>719</v>
      </c>
      <c r="I755" s="2" t="n">
        <v>1671</v>
      </c>
      <c r="J755" s="2" t="n">
        <v>919</v>
      </c>
      <c r="K755" s="2" t="n">
        <v>5585</v>
      </c>
      <c r="L755" s="2" t="n">
        <v>0</v>
      </c>
      <c r="M755" s="2" t="n">
        <v>204</v>
      </c>
      <c r="N755" s="2" t="n">
        <v>175</v>
      </c>
      <c r="O755" s="2" t="n">
        <v>3692</v>
      </c>
      <c r="Q755" s="2" t="n">
        <f aca="false">F755+G755+H755</f>
        <v>2757</v>
      </c>
    </row>
    <row r="756" customFormat="false" ht="12.8" hidden="false" customHeight="false" outlineLevel="0" collapsed="false">
      <c r="A756" s="2" t="s">
        <v>247</v>
      </c>
      <c r="B756" s="2" t="s">
        <v>264</v>
      </c>
      <c r="C756" s="2" t="s">
        <v>223</v>
      </c>
      <c r="D756" s="2" t="n">
        <v>1883</v>
      </c>
      <c r="E756" s="2" t="n">
        <v>0</v>
      </c>
      <c r="F756" s="2" t="n">
        <v>0</v>
      </c>
      <c r="G756" s="2" t="n">
        <v>2170</v>
      </c>
      <c r="H756" s="2" t="n">
        <v>765</v>
      </c>
      <c r="I756" s="2" t="n">
        <v>1959</v>
      </c>
      <c r="J756" s="2" t="n">
        <v>869</v>
      </c>
      <c r="K756" s="2" t="n">
        <v>5997</v>
      </c>
      <c r="L756" s="2" t="n">
        <v>0</v>
      </c>
      <c r="M756" s="2" t="n">
        <v>288</v>
      </c>
      <c r="N756" s="2" t="n">
        <v>164</v>
      </c>
      <c r="O756" s="2" t="n">
        <v>3811</v>
      </c>
      <c r="Q756" s="2" t="n">
        <f aca="false">F756+G756+H756</f>
        <v>2935</v>
      </c>
    </row>
    <row r="757" customFormat="false" ht="12.8" hidden="false" customHeight="false" outlineLevel="0" collapsed="false">
      <c r="A757" s="2" t="s">
        <v>247</v>
      </c>
      <c r="B757" s="2" t="s">
        <v>264</v>
      </c>
      <c r="C757" s="2" t="s">
        <v>224</v>
      </c>
      <c r="D757" s="2" t="n">
        <v>1861</v>
      </c>
      <c r="E757" s="2" t="n">
        <v>0</v>
      </c>
      <c r="F757" s="2" t="n">
        <v>0</v>
      </c>
      <c r="G757" s="2" t="n">
        <v>2190</v>
      </c>
      <c r="H757" s="2" t="n">
        <v>707</v>
      </c>
      <c r="I757" s="2" t="n">
        <v>1676</v>
      </c>
      <c r="J757" s="2" t="n">
        <v>1058</v>
      </c>
      <c r="K757" s="2" t="n">
        <v>5770</v>
      </c>
      <c r="L757" s="2" t="n">
        <v>0</v>
      </c>
      <c r="M757" s="2" t="n">
        <v>243</v>
      </c>
      <c r="N757" s="2" t="n">
        <v>209</v>
      </c>
      <c r="O757" s="2" t="n">
        <v>3686</v>
      </c>
      <c r="Q757" s="2" t="n">
        <f aca="false">F757+G757+H757</f>
        <v>2897</v>
      </c>
    </row>
    <row r="758" customFormat="false" ht="12.8" hidden="false" customHeight="false" outlineLevel="0" collapsed="false">
      <c r="A758" s="2" t="s">
        <v>248</v>
      </c>
      <c r="B758" s="2" t="s">
        <v>264</v>
      </c>
      <c r="C758" s="2" t="s">
        <v>212</v>
      </c>
      <c r="D758" s="2" t="n">
        <v>1255</v>
      </c>
      <c r="E758" s="2" t="n">
        <v>0</v>
      </c>
      <c r="F758" s="2" t="n">
        <v>197</v>
      </c>
      <c r="G758" s="2" t="n">
        <v>1141</v>
      </c>
      <c r="H758" s="2" t="n">
        <v>263</v>
      </c>
      <c r="I758" s="2" t="n">
        <v>836</v>
      </c>
      <c r="J758" s="2" t="n">
        <v>715</v>
      </c>
      <c r="K758" s="2" t="n">
        <v>2811</v>
      </c>
      <c r="L758" s="2" t="n">
        <v>0</v>
      </c>
      <c r="M758" s="2" t="n">
        <v>50</v>
      </c>
      <c r="N758" s="2" t="n">
        <v>207</v>
      </c>
      <c r="O758" s="2" t="n">
        <v>1419</v>
      </c>
      <c r="Q758" s="2" t="n">
        <f aca="false">F758+G758+H758</f>
        <v>1601</v>
      </c>
    </row>
    <row r="759" customFormat="false" ht="12.8" hidden="false" customHeight="false" outlineLevel="0" collapsed="false">
      <c r="A759" s="2" t="s">
        <v>248</v>
      </c>
      <c r="B759" s="2" t="s">
        <v>264</v>
      </c>
      <c r="C759" s="2" t="s">
        <v>217</v>
      </c>
      <c r="D759" s="2" t="n">
        <v>1433</v>
      </c>
      <c r="E759" s="2" t="n">
        <v>0</v>
      </c>
      <c r="F759" s="2" t="n">
        <v>283</v>
      </c>
      <c r="G759" s="2" t="n">
        <v>1340</v>
      </c>
      <c r="H759" s="2" t="n">
        <v>343</v>
      </c>
      <c r="I759" s="2" t="n">
        <v>1114</v>
      </c>
      <c r="J759" s="2" t="n">
        <v>803</v>
      </c>
      <c r="K759" s="2" t="n">
        <v>3566</v>
      </c>
      <c r="L759" s="2" t="n">
        <v>0</v>
      </c>
      <c r="M759" s="2" t="n">
        <v>45</v>
      </c>
      <c r="N759" s="2" t="n">
        <v>220</v>
      </c>
      <c r="O759" s="2" t="n">
        <v>1703</v>
      </c>
      <c r="Q759" s="2" t="n">
        <f aca="false">F759+G759+H759</f>
        <v>1966</v>
      </c>
    </row>
    <row r="760" customFormat="false" ht="12.8" hidden="false" customHeight="false" outlineLevel="0" collapsed="false">
      <c r="A760" s="2" t="s">
        <v>248</v>
      </c>
      <c r="B760" s="2" t="s">
        <v>264</v>
      </c>
      <c r="C760" s="2" t="s">
        <v>218</v>
      </c>
      <c r="D760" s="2" t="n">
        <v>1403</v>
      </c>
      <c r="E760" s="2" t="n">
        <v>0</v>
      </c>
      <c r="F760" s="2" t="n">
        <v>178</v>
      </c>
      <c r="G760" s="2" t="n">
        <v>1342</v>
      </c>
      <c r="H760" s="2" t="n">
        <v>319</v>
      </c>
      <c r="I760" s="2" t="n">
        <v>1104</v>
      </c>
      <c r="J760" s="2" t="n">
        <v>765</v>
      </c>
      <c r="K760" s="2" t="n">
        <v>3536</v>
      </c>
      <c r="L760" s="2" t="n">
        <v>0</v>
      </c>
      <c r="M760" s="2" t="n">
        <v>46</v>
      </c>
      <c r="N760" s="2" t="n">
        <v>237</v>
      </c>
      <c r="O760" s="2" t="n">
        <v>1499</v>
      </c>
      <c r="Q760" s="2" t="n">
        <f aca="false">F760+G760+H760</f>
        <v>1839</v>
      </c>
    </row>
    <row r="761" customFormat="false" ht="12.8" hidden="false" customHeight="false" outlineLevel="0" collapsed="false">
      <c r="A761" s="2" t="s">
        <v>248</v>
      </c>
      <c r="B761" s="2" t="s">
        <v>264</v>
      </c>
      <c r="C761" s="2" t="s">
        <v>219</v>
      </c>
      <c r="D761" s="2" t="n">
        <v>1249</v>
      </c>
      <c r="E761" s="2" t="n">
        <v>0</v>
      </c>
      <c r="F761" s="2" t="n">
        <v>225</v>
      </c>
      <c r="G761" s="2" t="n">
        <v>1217</v>
      </c>
      <c r="H761" s="2" t="n">
        <v>327</v>
      </c>
      <c r="I761" s="2" t="n">
        <v>982</v>
      </c>
      <c r="J761" s="2" t="n">
        <v>999</v>
      </c>
      <c r="K761" s="2" t="n">
        <v>3207</v>
      </c>
      <c r="L761" s="2" t="n">
        <v>0</v>
      </c>
      <c r="M761" s="2" t="n">
        <v>45</v>
      </c>
      <c r="N761" s="2" t="n">
        <v>254</v>
      </c>
      <c r="O761" s="2" t="n">
        <v>1709</v>
      </c>
      <c r="Q761" s="2" t="n">
        <f aca="false">F761+G761+H761</f>
        <v>1769</v>
      </c>
    </row>
    <row r="762" customFormat="false" ht="12.8" hidden="false" customHeight="false" outlineLevel="0" collapsed="false">
      <c r="A762" s="2" t="s">
        <v>248</v>
      </c>
      <c r="B762" s="2" t="s">
        <v>264</v>
      </c>
      <c r="C762" s="2" t="s">
        <v>220</v>
      </c>
      <c r="D762" s="2" t="n">
        <v>1399</v>
      </c>
      <c r="E762" s="2" t="n">
        <v>0</v>
      </c>
      <c r="F762" s="2" t="n">
        <v>231</v>
      </c>
      <c r="G762" s="2" t="n">
        <v>1293</v>
      </c>
      <c r="H762" s="2" t="n">
        <v>343</v>
      </c>
      <c r="I762" s="2" t="n">
        <v>1253</v>
      </c>
      <c r="J762" s="2" t="n">
        <v>851</v>
      </c>
      <c r="K762" s="2" t="n">
        <v>3634</v>
      </c>
      <c r="L762" s="2" t="n">
        <v>0</v>
      </c>
      <c r="M762" s="2" t="n">
        <v>50</v>
      </c>
      <c r="N762" s="2" t="n">
        <v>277</v>
      </c>
      <c r="O762" s="2" t="n">
        <v>1769</v>
      </c>
      <c r="Q762" s="2" t="n">
        <f aca="false">F762+G762+H762</f>
        <v>1867</v>
      </c>
    </row>
    <row r="763" customFormat="false" ht="12.8" hidden="false" customHeight="false" outlineLevel="0" collapsed="false">
      <c r="A763" s="2" t="s">
        <v>248</v>
      </c>
      <c r="B763" s="2" t="s">
        <v>264</v>
      </c>
      <c r="C763" s="2" t="s">
        <v>221</v>
      </c>
      <c r="D763" s="2" t="n">
        <v>1569</v>
      </c>
      <c r="E763" s="2" t="n">
        <v>0</v>
      </c>
      <c r="F763" s="2" t="n">
        <v>319</v>
      </c>
      <c r="G763" s="2" t="n">
        <v>1549</v>
      </c>
      <c r="H763" s="2" t="n">
        <v>424</v>
      </c>
      <c r="I763" s="2" t="n">
        <v>1528</v>
      </c>
      <c r="J763" s="2" t="n">
        <v>896</v>
      </c>
      <c r="K763" s="2" t="n">
        <v>4125</v>
      </c>
      <c r="L763" s="2" t="n">
        <v>0</v>
      </c>
      <c r="M763" s="2" t="n">
        <v>69</v>
      </c>
      <c r="N763" s="2" t="n">
        <v>263</v>
      </c>
      <c r="O763" s="2" t="n">
        <v>2199</v>
      </c>
      <c r="Q763" s="2" t="n">
        <f aca="false">F763+G763+H763</f>
        <v>2292</v>
      </c>
    </row>
    <row r="764" customFormat="false" ht="12.8" hidden="false" customHeight="false" outlineLevel="0" collapsed="false">
      <c r="A764" s="2" t="s">
        <v>248</v>
      </c>
      <c r="B764" s="2" t="s">
        <v>264</v>
      </c>
      <c r="C764" s="2" t="s">
        <v>222</v>
      </c>
      <c r="D764" s="2" t="n">
        <v>1394</v>
      </c>
      <c r="E764" s="2" t="n">
        <v>0</v>
      </c>
      <c r="F764" s="2" t="n">
        <v>332</v>
      </c>
      <c r="G764" s="2" t="n">
        <v>1476</v>
      </c>
      <c r="H764" s="2" t="n">
        <v>346</v>
      </c>
      <c r="I764" s="2" t="n">
        <v>1279</v>
      </c>
      <c r="J764" s="2" t="n">
        <v>888</v>
      </c>
      <c r="K764" s="2" t="n">
        <v>3754</v>
      </c>
      <c r="L764" s="2" t="n">
        <v>0</v>
      </c>
      <c r="M764" s="2" t="n">
        <v>51</v>
      </c>
      <c r="N764" s="2" t="n">
        <v>262</v>
      </c>
      <c r="O764" s="2" t="n">
        <v>2240</v>
      </c>
      <c r="Q764" s="2" t="n">
        <f aca="false">F764+G764+H764</f>
        <v>2154</v>
      </c>
    </row>
    <row r="765" customFormat="false" ht="12.8" hidden="false" customHeight="false" outlineLevel="0" collapsed="false">
      <c r="A765" s="2" t="s">
        <v>248</v>
      </c>
      <c r="B765" s="2" t="s">
        <v>264</v>
      </c>
      <c r="C765" s="2" t="s">
        <v>223</v>
      </c>
      <c r="D765" s="2" t="n">
        <v>1334</v>
      </c>
      <c r="E765" s="2" t="n">
        <v>0</v>
      </c>
      <c r="F765" s="2" t="n">
        <v>487</v>
      </c>
      <c r="G765" s="2" t="n">
        <v>1390</v>
      </c>
      <c r="H765" s="2" t="n">
        <v>331</v>
      </c>
      <c r="I765" s="2" t="n">
        <v>1308</v>
      </c>
      <c r="J765" s="2" t="n">
        <v>798</v>
      </c>
      <c r="K765" s="2" t="n">
        <v>3649</v>
      </c>
      <c r="L765" s="2" t="n">
        <v>0</v>
      </c>
      <c r="M765" s="2" t="n">
        <v>61</v>
      </c>
      <c r="N765" s="2" t="n">
        <v>246</v>
      </c>
      <c r="O765" s="2" t="n">
        <v>2177</v>
      </c>
      <c r="Q765" s="2" t="n">
        <f aca="false">F765+G765+H765</f>
        <v>2208</v>
      </c>
    </row>
    <row r="766" customFormat="false" ht="12.8" hidden="false" customHeight="false" outlineLevel="0" collapsed="false">
      <c r="A766" s="2" t="s">
        <v>248</v>
      </c>
      <c r="B766" s="2" t="s">
        <v>264</v>
      </c>
      <c r="C766" s="2" t="s">
        <v>224</v>
      </c>
      <c r="D766" s="2" t="n">
        <v>1440</v>
      </c>
      <c r="E766" s="2" t="n">
        <v>0</v>
      </c>
      <c r="F766" s="2" t="n">
        <v>553</v>
      </c>
      <c r="G766" s="2" t="n">
        <v>1500</v>
      </c>
      <c r="H766" s="2" t="n">
        <v>344</v>
      </c>
      <c r="I766" s="2" t="n">
        <v>1420</v>
      </c>
      <c r="J766" s="2" t="n">
        <v>849</v>
      </c>
      <c r="K766" s="2" t="n">
        <v>4044</v>
      </c>
      <c r="L766" s="2" t="n">
        <v>0</v>
      </c>
      <c r="M766" s="2" t="n">
        <v>50</v>
      </c>
      <c r="N766" s="2" t="n">
        <v>255</v>
      </c>
      <c r="O766" s="2" t="n">
        <v>2100</v>
      </c>
      <c r="Q766" s="2" t="n">
        <f aca="false">F766+G766+H766</f>
        <v>2397</v>
      </c>
    </row>
    <row r="767" customFormat="false" ht="12.8" hidden="false" customHeight="false" outlineLevel="0" collapsed="false">
      <c r="A767" s="2" t="s">
        <v>249</v>
      </c>
      <c r="B767" s="2" t="s">
        <v>264</v>
      </c>
      <c r="C767" s="2" t="s">
        <v>212</v>
      </c>
      <c r="D767" s="2" t="n">
        <v>1485</v>
      </c>
      <c r="E767" s="2" t="n">
        <v>0</v>
      </c>
      <c r="F767" s="2" t="n">
        <v>0</v>
      </c>
      <c r="G767" s="2" t="n">
        <v>1186</v>
      </c>
      <c r="H767" s="2" t="n">
        <v>655</v>
      </c>
      <c r="I767" s="2" t="n">
        <v>1123</v>
      </c>
      <c r="J767" s="2" t="n">
        <v>740</v>
      </c>
      <c r="K767" s="2" t="n">
        <v>3317</v>
      </c>
      <c r="L767" s="2" t="n">
        <v>0</v>
      </c>
      <c r="M767" s="2" t="n">
        <v>67</v>
      </c>
      <c r="N767" s="2" t="n">
        <v>213</v>
      </c>
      <c r="O767" s="2" t="n">
        <v>2014</v>
      </c>
      <c r="Q767" s="2" t="n">
        <f aca="false">F767+G767+H767</f>
        <v>1841</v>
      </c>
    </row>
    <row r="768" customFormat="false" ht="12.8" hidden="false" customHeight="false" outlineLevel="0" collapsed="false">
      <c r="A768" s="2" t="s">
        <v>249</v>
      </c>
      <c r="B768" s="2" t="s">
        <v>264</v>
      </c>
      <c r="C768" s="2" t="s">
        <v>217</v>
      </c>
      <c r="D768" s="2" t="n">
        <v>1428</v>
      </c>
      <c r="E768" s="2" t="n">
        <v>0</v>
      </c>
      <c r="F768" s="2" t="n">
        <v>0</v>
      </c>
      <c r="G768" s="2" t="n">
        <v>1251</v>
      </c>
      <c r="H768" s="2" t="n">
        <v>726</v>
      </c>
      <c r="I768" s="2" t="n">
        <v>1155</v>
      </c>
      <c r="J768" s="2" t="n">
        <v>786</v>
      </c>
      <c r="K768" s="2" t="n">
        <v>3539</v>
      </c>
      <c r="L768" s="2" t="n">
        <v>0</v>
      </c>
      <c r="M768" s="2" t="n">
        <v>80</v>
      </c>
      <c r="N768" s="2" t="n">
        <v>242</v>
      </c>
      <c r="O768" s="2" t="n">
        <v>2030</v>
      </c>
      <c r="Q768" s="2" t="n">
        <f aca="false">F768+G768+H768</f>
        <v>1977</v>
      </c>
    </row>
    <row r="769" customFormat="false" ht="12.8" hidden="false" customHeight="false" outlineLevel="0" collapsed="false">
      <c r="A769" s="2" t="s">
        <v>249</v>
      </c>
      <c r="B769" s="2" t="s">
        <v>264</v>
      </c>
      <c r="C769" s="2" t="s">
        <v>218</v>
      </c>
      <c r="D769" s="2" t="n">
        <v>1291</v>
      </c>
      <c r="E769" s="2" t="n">
        <v>0</v>
      </c>
      <c r="F769" s="2" t="n">
        <v>0</v>
      </c>
      <c r="G769" s="2" t="n">
        <v>1193</v>
      </c>
      <c r="H769" s="2" t="n">
        <v>655</v>
      </c>
      <c r="I769" s="2" t="n">
        <v>1058</v>
      </c>
      <c r="J769" s="2" t="n">
        <v>780</v>
      </c>
      <c r="K769" s="2" t="n">
        <v>3319</v>
      </c>
      <c r="L769" s="2" t="n">
        <v>0</v>
      </c>
      <c r="M769" s="2" t="n">
        <v>90</v>
      </c>
      <c r="N769" s="2" t="n">
        <v>209</v>
      </c>
      <c r="O769" s="2" t="n">
        <v>1698</v>
      </c>
      <c r="Q769" s="2" t="n">
        <f aca="false">F769+G769+H769</f>
        <v>1848</v>
      </c>
    </row>
    <row r="770" customFormat="false" ht="12.8" hidden="false" customHeight="false" outlineLevel="0" collapsed="false">
      <c r="A770" s="2" t="s">
        <v>249</v>
      </c>
      <c r="B770" s="2" t="s">
        <v>264</v>
      </c>
      <c r="C770" s="2" t="s">
        <v>219</v>
      </c>
      <c r="D770" s="2" t="n">
        <v>1298</v>
      </c>
      <c r="E770" s="2" t="n">
        <v>0</v>
      </c>
      <c r="F770" s="2" t="n">
        <v>0</v>
      </c>
      <c r="G770" s="2" t="n">
        <v>1207</v>
      </c>
      <c r="H770" s="2" t="n">
        <v>707</v>
      </c>
      <c r="I770" s="2" t="n">
        <v>1214</v>
      </c>
      <c r="J770" s="2" t="n">
        <v>929</v>
      </c>
      <c r="K770" s="2" t="n">
        <v>3404</v>
      </c>
      <c r="L770" s="2" t="n">
        <v>0</v>
      </c>
      <c r="M770" s="2" t="n">
        <v>90</v>
      </c>
      <c r="N770" s="2" t="n">
        <v>223</v>
      </c>
      <c r="O770" s="2" t="n">
        <v>1944</v>
      </c>
      <c r="Q770" s="2" t="n">
        <f aca="false">F770+G770+H770</f>
        <v>1914</v>
      </c>
    </row>
    <row r="771" customFormat="false" ht="12.8" hidden="false" customHeight="false" outlineLevel="0" collapsed="false">
      <c r="A771" s="2" t="s">
        <v>249</v>
      </c>
      <c r="B771" s="2" t="s">
        <v>264</v>
      </c>
      <c r="C771" s="2" t="s">
        <v>220</v>
      </c>
      <c r="D771" s="2" t="n">
        <v>1309</v>
      </c>
      <c r="E771" s="2" t="n">
        <v>0</v>
      </c>
      <c r="F771" s="2" t="n">
        <v>0</v>
      </c>
      <c r="G771" s="2" t="n">
        <v>1261</v>
      </c>
      <c r="H771" s="2" t="n">
        <v>677</v>
      </c>
      <c r="I771" s="2" t="n">
        <v>1279</v>
      </c>
      <c r="J771" s="2" t="n">
        <v>841</v>
      </c>
      <c r="K771" s="2" t="n">
        <v>3547</v>
      </c>
      <c r="L771" s="2" t="n">
        <v>0</v>
      </c>
      <c r="M771" s="2" t="n">
        <v>65</v>
      </c>
      <c r="N771" s="2" t="n">
        <v>207</v>
      </c>
      <c r="O771" s="2" t="n">
        <v>2084</v>
      </c>
      <c r="Q771" s="2" t="n">
        <f aca="false">F771+G771+H771</f>
        <v>1938</v>
      </c>
    </row>
    <row r="772" customFormat="false" ht="12.8" hidden="false" customHeight="false" outlineLevel="0" collapsed="false">
      <c r="A772" s="2" t="s">
        <v>249</v>
      </c>
      <c r="B772" s="2" t="s">
        <v>264</v>
      </c>
      <c r="C772" s="2" t="s">
        <v>221</v>
      </c>
      <c r="D772" s="2" t="n">
        <v>1159</v>
      </c>
      <c r="E772" s="2" t="n">
        <v>0</v>
      </c>
      <c r="F772" s="2" t="n">
        <v>0</v>
      </c>
      <c r="G772" s="2" t="n">
        <v>1213</v>
      </c>
      <c r="H772" s="2" t="n">
        <v>638</v>
      </c>
      <c r="I772" s="2" t="n">
        <v>1130</v>
      </c>
      <c r="J772" s="2" t="n">
        <v>925</v>
      </c>
      <c r="K772" s="2" t="n">
        <v>3294</v>
      </c>
      <c r="L772" s="2" t="n">
        <v>0</v>
      </c>
      <c r="M772" s="2" t="n">
        <v>65</v>
      </c>
      <c r="N772" s="2" t="n">
        <v>225</v>
      </c>
      <c r="O772" s="2" t="n">
        <v>1940</v>
      </c>
      <c r="Q772" s="2" t="n">
        <f aca="false">F772+G772+H772</f>
        <v>1851</v>
      </c>
    </row>
    <row r="773" customFormat="false" ht="12.8" hidden="false" customHeight="false" outlineLevel="0" collapsed="false">
      <c r="A773" s="2" t="s">
        <v>249</v>
      </c>
      <c r="B773" s="2" t="s">
        <v>264</v>
      </c>
      <c r="C773" s="2" t="s">
        <v>222</v>
      </c>
      <c r="D773" s="2" t="n">
        <v>1076</v>
      </c>
      <c r="E773" s="2" t="n">
        <v>0</v>
      </c>
      <c r="F773" s="2" t="n">
        <v>0</v>
      </c>
      <c r="G773" s="2" t="n">
        <v>1129</v>
      </c>
      <c r="H773" s="2" t="n">
        <v>607</v>
      </c>
      <c r="I773" s="2" t="n">
        <v>1055</v>
      </c>
      <c r="J773" s="2" t="n">
        <v>658</v>
      </c>
      <c r="K773" s="2" t="n">
        <v>3164</v>
      </c>
      <c r="L773" s="2" t="n">
        <v>0</v>
      </c>
      <c r="M773" s="2" t="n">
        <v>75</v>
      </c>
      <c r="N773" s="2" t="n">
        <v>194</v>
      </c>
      <c r="O773" s="2" t="n">
        <v>1719</v>
      </c>
      <c r="Q773" s="2" t="n">
        <f aca="false">F773+G773+H773</f>
        <v>1736</v>
      </c>
    </row>
    <row r="774" customFormat="false" ht="12.8" hidden="false" customHeight="false" outlineLevel="0" collapsed="false">
      <c r="A774" s="2" t="s">
        <v>249</v>
      </c>
      <c r="B774" s="2" t="s">
        <v>264</v>
      </c>
      <c r="C774" s="2" t="s">
        <v>223</v>
      </c>
      <c r="D774" s="2" t="n">
        <v>1085</v>
      </c>
      <c r="E774" s="2" t="n">
        <v>0</v>
      </c>
      <c r="F774" s="2" t="n">
        <v>0</v>
      </c>
      <c r="G774" s="2" t="n">
        <v>1228</v>
      </c>
      <c r="H774" s="2" t="n">
        <v>604</v>
      </c>
      <c r="I774" s="2" t="n">
        <v>1014</v>
      </c>
      <c r="J774" s="2" t="n">
        <v>840</v>
      </c>
      <c r="K774" s="2" t="n">
        <v>3198</v>
      </c>
      <c r="L774" s="2" t="n">
        <v>0</v>
      </c>
      <c r="M774" s="2" t="n">
        <v>76</v>
      </c>
      <c r="N774" s="2" t="n">
        <v>263</v>
      </c>
      <c r="O774" s="2" t="n">
        <v>1733</v>
      </c>
      <c r="Q774" s="2" t="n">
        <f aca="false">F774+G774+H774</f>
        <v>1832</v>
      </c>
    </row>
    <row r="775" customFormat="false" ht="12.8" hidden="false" customHeight="false" outlineLevel="0" collapsed="false">
      <c r="A775" s="2" t="s">
        <v>249</v>
      </c>
      <c r="B775" s="2" t="s">
        <v>264</v>
      </c>
      <c r="C775" s="2" t="s">
        <v>224</v>
      </c>
      <c r="D775" s="2" t="n">
        <v>1154</v>
      </c>
      <c r="E775" s="2" t="n">
        <v>0</v>
      </c>
      <c r="F775" s="2" t="n">
        <v>0</v>
      </c>
      <c r="G775" s="2" t="n">
        <v>1360</v>
      </c>
      <c r="H775" s="2" t="n">
        <v>637</v>
      </c>
      <c r="I775" s="2" t="n">
        <v>1150</v>
      </c>
      <c r="J775" s="2" t="n">
        <v>867</v>
      </c>
      <c r="K775" s="2" t="n">
        <v>3518</v>
      </c>
      <c r="L775" s="2" t="n">
        <v>0</v>
      </c>
      <c r="M775" s="2" t="n">
        <v>92</v>
      </c>
      <c r="N775" s="2" t="n">
        <v>267</v>
      </c>
      <c r="O775" s="2" t="n">
        <v>1990</v>
      </c>
      <c r="Q775" s="2" t="n">
        <f aca="false">F775+G775+H775</f>
        <v>1997</v>
      </c>
    </row>
    <row r="776" customFormat="false" ht="12.8" hidden="false" customHeight="false" outlineLevel="0" collapsed="false">
      <c r="A776" s="2" t="s">
        <v>250</v>
      </c>
      <c r="B776" s="2" t="s">
        <v>264</v>
      </c>
      <c r="C776" s="2" t="s">
        <v>212</v>
      </c>
      <c r="D776" s="2" t="n">
        <v>1019</v>
      </c>
      <c r="E776" s="2" t="n">
        <v>0</v>
      </c>
      <c r="F776" s="2" t="n">
        <v>0</v>
      </c>
      <c r="G776" s="2" t="n">
        <v>302</v>
      </c>
      <c r="H776" s="2" t="n">
        <v>1031</v>
      </c>
      <c r="I776" s="2" t="n">
        <v>731</v>
      </c>
      <c r="J776" s="2" t="n">
        <v>395</v>
      </c>
      <c r="K776" s="2" t="n">
        <v>1553</v>
      </c>
      <c r="L776" s="2" t="n">
        <v>415</v>
      </c>
      <c r="M776" s="2" t="n">
        <v>80</v>
      </c>
      <c r="N776" s="2" t="n">
        <v>105</v>
      </c>
      <c r="O776" s="2" t="n">
        <v>403</v>
      </c>
      <c r="Q776" s="2" t="n">
        <f aca="false">F776+G776+H776</f>
        <v>1333</v>
      </c>
    </row>
    <row r="777" customFormat="false" ht="12.8" hidden="false" customHeight="false" outlineLevel="0" collapsed="false">
      <c r="A777" s="2" t="s">
        <v>250</v>
      </c>
      <c r="B777" s="2" t="s">
        <v>264</v>
      </c>
      <c r="C777" s="2" t="s">
        <v>217</v>
      </c>
      <c r="D777" s="2" t="n">
        <v>1198</v>
      </c>
      <c r="E777" s="2" t="n">
        <v>0</v>
      </c>
      <c r="F777" s="2" t="n">
        <v>0</v>
      </c>
      <c r="G777" s="2" t="n">
        <v>327</v>
      </c>
      <c r="H777" s="2" t="n">
        <v>1336</v>
      </c>
      <c r="I777" s="2" t="n">
        <v>771</v>
      </c>
      <c r="J777" s="2" t="n">
        <v>542</v>
      </c>
      <c r="K777" s="2" t="n">
        <v>1949</v>
      </c>
      <c r="L777" s="2" t="n">
        <v>508</v>
      </c>
      <c r="M777" s="2" t="n">
        <v>125</v>
      </c>
      <c r="N777" s="2" t="n">
        <v>133</v>
      </c>
      <c r="O777" s="2" t="n">
        <v>518</v>
      </c>
      <c r="Q777" s="2" t="n">
        <f aca="false">F777+G777+H777</f>
        <v>1663</v>
      </c>
    </row>
    <row r="778" customFormat="false" ht="12.8" hidden="false" customHeight="false" outlineLevel="0" collapsed="false">
      <c r="A778" s="2" t="s">
        <v>250</v>
      </c>
      <c r="B778" s="2" t="s">
        <v>264</v>
      </c>
      <c r="C778" s="2" t="s">
        <v>218</v>
      </c>
      <c r="D778" s="2" t="n">
        <v>1280</v>
      </c>
      <c r="E778" s="2" t="n">
        <v>0</v>
      </c>
      <c r="F778" s="2" t="n">
        <v>0</v>
      </c>
      <c r="G778" s="2" t="n">
        <v>414</v>
      </c>
      <c r="H778" s="2" t="n">
        <v>1350</v>
      </c>
      <c r="I778" s="2" t="n">
        <v>887</v>
      </c>
      <c r="J778" s="2" t="n">
        <v>491</v>
      </c>
      <c r="K778" s="2" t="n">
        <v>1793</v>
      </c>
      <c r="L778" s="2" t="n">
        <v>738</v>
      </c>
      <c r="M778" s="2" t="n">
        <v>169</v>
      </c>
      <c r="N778" s="2" t="n">
        <v>98</v>
      </c>
      <c r="O778" s="2" t="n">
        <v>551</v>
      </c>
      <c r="Q778" s="2" t="n">
        <f aca="false">F778+G778+H778</f>
        <v>1764</v>
      </c>
    </row>
    <row r="779" customFormat="false" ht="12.8" hidden="false" customHeight="false" outlineLevel="0" collapsed="false">
      <c r="A779" s="2" t="s">
        <v>250</v>
      </c>
      <c r="B779" s="2" t="s">
        <v>264</v>
      </c>
      <c r="C779" s="2" t="s">
        <v>219</v>
      </c>
      <c r="D779" s="2" t="n">
        <v>1297</v>
      </c>
      <c r="E779" s="2" t="n">
        <v>0</v>
      </c>
      <c r="F779" s="2" t="n">
        <v>0</v>
      </c>
      <c r="G779" s="2" t="n">
        <v>445</v>
      </c>
      <c r="H779" s="2" t="n">
        <v>1329</v>
      </c>
      <c r="I779" s="2" t="n">
        <v>868</v>
      </c>
      <c r="J779" s="2" t="n">
        <v>546</v>
      </c>
      <c r="K779" s="2" t="n">
        <v>1275</v>
      </c>
      <c r="L779" s="2" t="n">
        <v>1066</v>
      </c>
      <c r="M779" s="2" t="n">
        <v>147</v>
      </c>
      <c r="N779" s="2" t="n">
        <v>128</v>
      </c>
      <c r="O779" s="2" t="n">
        <v>530</v>
      </c>
      <c r="Q779" s="2" t="n">
        <f aca="false">F779+G779+H779</f>
        <v>1774</v>
      </c>
    </row>
    <row r="780" customFormat="false" ht="12.8" hidden="false" customHeight="false" outlineLevel="0" collapsed="false">
      <c r="A780" s="2" t="s">
        <v>250</v>
      </c>
      <c r="B780" s="2" t="s">
        <v>264</v>
      </c>
      <c r="C780" s="2" t="s">
        <v>220</v>
      </c>
      <c r="D780" s="2" t="n">
        <v>1218</v>
      </c>
      <c r="E780" s="2" t="n">
        <v>0</v>
      </c>
      <c r="F780" s="2" t="n">
        <v>0</v>
      </c>
      <c r="G780" s="2" t="n">
        <v>433</v>
      </c>
      <c r="H780" s="2" t="n">
        <v>1241</v>
      </c>
      <c r="I780" s="2" t="n">
        <v>866</v>
      </c>
      <c r="J780" s="2" t="n">
        <v>459</v>
      </c>
      <c r="K780" s="2" t="n">
        <v>1276</v>
      </c>
      <c r="L780" s="2" t="n">
        <v>1015</v>
      </c>
      <c r="M780" s="2" t="n">
        <v>141</v>
      </c>
      <c r="N780" s="2" t="n">
        <v>129</v>
      </c>
      <c r="O780" s="2" t="n">
        <v>536</v>
      </c>
      <c r="Q780" s="2" t="n">
        <f aca="false">F780+G780+H780</f>
        <v>1674</v>
      </c>
    </row>
    <row r="781" customFormat="false" ht="12.8" hidden="false" customHeight="false" outlineLevel="0" collapsed="false">
      <c r="A781" s="2" t="s">
        <v>250</v>
      </c>
      <c r="B781" s="2" t="s">
        <v>264</v>
      </c>
      <c r="C781" s="2" t="s">
        <v>221</v>
      </c>
      <c r="D781" s="2" t="n">
        <v>1257</v>
      </c>
      <c r="E781" s="2" t="n">
        <v>0</v>
      </c>
      <c r="F781" s="2" t="n">
        <v>0</v>
      </c>
      <c r="G781" s="2" t="n">
        <v>457</v>
      </c>
      <c r="H781" s="2" t="n">
        <v>1201</v>
      </c>
      <c r="I781" s="2" t="n">
        <v>858</v>
      </c>
      <c r="J781" s="2" t="n">
        <v>492</v>
      </c>
      <c r="K781" s="2" t="n">
        <v>1256</v>
      </c>
      <c r="L781" s="2" t="n">
        <v>1037</v>
      </c>
      <c r="M781" s="2" t="n">
        <v>75</v>
      </c>
      <c r="N781" s="2" t="n">
        <v>157</v>
      </c>
      <c r="O781" s="2" t="n">
        <v>471</v>
      </c>
      <c r="Q781" s="2" t="n">
        <f aca="false">F781+G781+H781</f>
        <v>1658</v>
      </c>
    </row>
    <row r="782" customFormat="false" ht="12.8" hidden="false" customHeight="false" outlineLevel="0" collapsed="false">
      <c r="A782" s="2" t="s">
        <v>250</v>
      </c>
      <c r="B782" s="2" t="s">
        <v>264</v>
      </c>
      <c r="C782" s="2" t="s">
        <v>222</v>
      </c>
      <c r="D782" s="2" t="n">
        <v>1176</v>
      </c>
      <c r="E782" s="2" t="n">
        <v>0</v>
      </c>
      <c r="F782" s="2" t="n">
        <v>0</v>
      </c>
      <c r="G782" s="2" t="n">
        <v>367</v>
      </c>
      <c r="H782" s="2" t="n">
        <v>1221</v>
      </c>
      <c r="I782" s="2" t="n">
        <v>695</v>
      </c>
      <c r="J782" s="2" t="n">
        <v>539</v>
      </c>
      <c r="K782" s="2" t="n">
        <v>1224</v>
      </c>
      <c r="L782" s="2" t="n">
        <v>816</v>
      </c>
      <c r="M782" s="2" t="n">
        <v>95</v>
      </c>
      <c r="N782" s="2" t="n">
        <v>147</v>
      </c>
      <c r="O782" s="2" t="n">
        <v>463</v>
      </c>
      <c r="Q782" s="2" t="n">
        <f aca="false">F782+G782+H782</f>
        <v>1588</v>
      </c>
    </row>
    <row r="783" customFormat="false" ht="12.8" hidden="false" customHeight="false" outlineLevel="0" collapsed="false">
      <c r="A783" s="2" t="s">
        <v>250</v>
      </c>
      <c r="B783" s="2" t="s">
        <v>264</v>
      </c>
      <c r="C783" s="2" t="s">
        <v>223</v>
      </c>
      <c r="D783" s="2" t="n">
        <v>1139</v>
      </c>
      <c r="E783" s="2" t="n">
        <v>0</v>
      </c>
      <c r="F783" s="2" t="n">
        <v>0</v>
      </c>
      <c r="G783" s="2" t="n">
        <v>390</v>
      </c>
      <c r="H783" s="2" t="n">
        <v>1195</v>
      </c>
      <c r="I783" s="2" t="n">
        <v>661</v>
      </c>
      <c r="J783" s="2" t="n">
        <v>560</v>
      </c>
      <c r="K783" s="2" t="n">
        <v>964</v>
      </c>
      <c r="L783" s="2" t="n">
        <v>957</v>
      </c>
      <c r="M783" s="2" t="n">
        <v>134</v>
      </c>
      <c r="N783" s="2" t="n">
        <v>152</v>
      </c>
      <c r="O783" s="2" t="n">
        <v>471</v>
      </c>
      <c r="Q783" s="2" t="n">
        <f aca="false">F783+G783+H783</f>
        <v>1585</v>
      </c>
    </row>
    <row r="784" customFormat="false" ht="12.8" hidden="false" customHeight="false" outlineLevel="0" collapsed="false">
      <c r="A784" s="2" t="s">
        <v>250</v>
      </c>
      <c r="B784" s="2" t="s">
        <v>264</v>
      </c>
      <c r="C784" s="2" t="s">
        <v>224</v>
      </c>
      <c r="D784" s="2" t="n">
        <v>1193</v>
      </c>
      <c r="E784" s="2" t="n">
        <v>0</v>
      </c>
      <c r="F784" s="2" t="n">
        <v>0</v>
      </c>
      <c r="G784" s="2" t="n">
        <v>421</v>
      </c>
      <c r="H784" s="2" t="n">
        <v>1255</v>
      </c>
      <c r="I784" s="2" t="n">
        <v>818</v>
      </c>
      <c r="J784" s="2" t="n">
        <v>444</v>
      </c>
      <c r="K784" s="2" t="n">
        <v>1222</v>
      </c>
      <c r="L784" s="2" t="n">
        <v>789</v>
      </c>
      <c r="M784" s="2" t="n">
        <v>125</v>
      </c>
      <c r="N784" s="2" t="n">
        <v>201</v>
      </c>
      <c r="O784" s="2" t="n">
        <v>513</v>
      </c>
      <c r="Q784" s="2" t="n">
        <f aca="false">F784+G784+H784</f>
        <v>1676</v>
      </c>
    </row>
    <row r="785" customFormat="false" ht="12.8" hidden="false" customHeight="false" outlineLevel="0" collapsed="false">
      <c r="A785" s="2" t="s">
        <v>251</v>
      </c>
      <c r="B785" s="2" t="s">
        <v>264</v>
      </c>
      <c r="C785" s="2" t="s">
        <v>212</v>
      </c>
      <c r="D785" s="2" t="n">
        <v>1403</v>
      </c>
      <c r="E785" s="2" t="n">
        <v>0</v>
      </c>
      <c r="F785" s="2" t="n">
        <v>0</v>
      </c>
      <c r="G785" s="2" t="n">
        <v>1152</v>
      </c>
      <c r="H785" s="2" t="n">
        <v>486</v>
      </c>
      <c r="I785" s="2" t="n">
        <v>1001</v>
      </c>
      <c r="J785" s="2" t="n">
        <v>624</v>
      </c>
      <c r="K785" s="2" t="n">
        <v>3130</v>
      </c>
      <c r="L785" s="2" t="n">
        <v>0</v>
      </c>
      <c r="M785" s="2" t="n">
        <v>57</v>
      </c>
      <c r="N785" s="2" t="n">
        <v>126</v>
      </c>
      <c r="O785" s="2" t="n">
        <v>1807</v>
      </c>
      <c r="Q785" s="2" t="n">
        <f aca="false">F785+G785+H785</f>
        <v>1638</v>
      </c>
    </row>
    <row r="786" customFormat="false" ht="12.8" hidden="false" customHeight="false" outlineLevel="0" collapsed="false">
      <c r="A786" s="2" t="s">
        <v>251</v>
      </c>
      <c r="B786" s="2" t="s">
        <v>264</v>
      </c>
      <c r="C786" s="2" t="s">
        <v>217</v>
      </c>
      <c r="D786" s="2" t="n">
        <v>1464</v>
      </c>
      <c r="E786" s="2" t="n">
        <v>0</v>
      </c>
      <c r="F786" s="2" t="n">
        <v>0</v>
      </c>
      <c r="G786" s="2" t="n">
        <v>1219</v>
      </c>
      <c r="H786" s="2" t="n">
        <v>597</v>
      </c>
      <c r="I786" s="2" t="n">
        <v>1127</v>
      </c>
      <c r="J786" s="2" t="n">
        <v>654</v>
      </c>
      <c r="K786" s="2" t="n">
        <v>3393</v>
      </c>
      <c r="L786" s="2" t="n">
        <v>0</v>
      </c>
      <c r="M786" s="2" t="n">
        <v>46</v>
      </c>
      <c r="N786" s="2" t="n">
        <v>169</v>
      </c>
      <c r="O786" s="2" t="n">
        <v>1895</v>
      </c>
      <c r="Q786" s="2" t="n">
        <f aca="false">F786+G786+H786</f>
        <v>1816</v>
      </c>
    </row>
    <row r="787" customFormat="false" ht="12.8" hidden="false" customHeight="false" outlineLevel="0" collapsed="false">
      <c r="A787" s="2" t="s">
        <v>251</v>
      </c>
      <c r="B787" s="2" t="s">
        <v>264</v>
      </c>
      <c r="C787" s="2" t="s">
        <v>218</v>
      </c>
      <c r="D787" s="2" t="n">
        <v>1569</v>
      </c>
      <c r="E787" s="2" t="n">
        <v>0</v>
      </c>
      <c r="F787" s="2" t="n">
        <v>0</v>
      </c>
      <c r="G787" s="2" t="n">
        <v>1348</v>
      </c>
      <c r="H787" s="2" t="n">
        <v>577</v>
      </c>
      <c r="I787" s="2" t="n">
        <v>1062</v>
      </c>
      <c r="J787" s="2" t="n">
        <v>826</v>
      </c>
      <c r="K787" s="2" t="n">
        <v>3692</v>
      </c>
      <c r="L787" s="2" t="n">
        <v>0</v>
      </c>
      <c r="M787" s="2" t="n">
        <v>39</v>
      </c>
      <c r="N787" s="2" t="n">
        <v>150</v>
      </c>
      <c r="O787" s="2" t="n">
        <v>2054</v>
      </c>
      <c r="Q787" s="2" t="n">
        <f aca="false">F787+G787+H787</f>
        <v>1925</v>
      </c>
    </row>
    <row r="788" customFormat="false" ht="12.8" hidden="false" customHeight="false" outlineLevel="0" collapsed="false">
      <c r="A788" s="2" t="s">
        <v>251</v>
      </c>
      <c r="B788" s="2" t="s">
        <v>264</v>
      </c>
      <c r="C788" s="2" t="s">
        <v>219</v>
      </c>
      <c r="D788" s="2" t="n">
        <v>1483</v>
      </c>
      <c r="E788" s="2" t="n">
        <v>0</v>
      </c>
      <c r="F788" s="2" t="n">
        <v>0</v>
      </c>
      <c r="G788" s="2" t="n">
        <v>1286</v>
      </c>
      <c r="H788" s="2" t="n">
        <v>608</v>
      </c>
      <c r="I788" s="2" t="n">
        <v>1023</v>
      </c>
      <c r="J788" s="2" t="n">
        <v>930</v>
      </c>
      <c r="K788" s="2" t="n">
        <v>3589</v>
      </c>
      <c r="L788" s="2" t="n">
        <v>0</v>
      </c>
      <c r="M788" s="2" t="n">
        <v>102</v>
      </c>
      <c r="N788" s="2" t="n">
        <v>138</v>
      </c>
      <c r="O788" s="2" t="n">
        <v>1936</v>
      </c>
      <c r="Q788" s="2" t="n">
        <f aca="false">F788+G788+H788</f>
        <v>1894</v>
      </c>
    </row>
    <row r="789" customFormat="false" ht="12.8" hidden="false" customHeight="false" outlineLevel="0" collapsed="false">
      <c r="A789" s="2" t="s">
        <v>251</v>
      </c>
      <c r="B789" s="2" t="s">
        <v>264</v>
      </c>
      <c r="C789" s="2" t="s">
        <v>220</v>
      </c>
      <c r="D789" s="2" t="n">
        <v>1379</v>
      </c>
      <c r="E789" s="2" t="n">
        <v>0</v>
      </c>
      <c r="F789" s="2" t="n">
        <v>0</v>
      </c>
      <c r="G789" s="2" t="n">
        <v>1308</v>
      </c>
      <c r="H789" s="2" t="n">
        <v>588</v>
      </c>
      <c r="I789" s="2" t="n">
        <v>952</v>
      </c>
      <c r="J789" s="2" t="n">
        <v>1118</v>
      </c>
      <c r="K789" s="2" t="n">
        <v>3366</v>
      </c>
      <c r="L789" s="2" t="n">
        <v>0</v>
      </c>
      <c r="M789" s="2" t="n">
        <v>80</v>
      </c>
      <c r="N789" s="2" t="n">
        <v>238</v>
      </c>
      <c r="O789" s="2" t="n">
        <v>2007</v>
      </c>
      <c r="Q789" s="2" t="n">
        <f aca="false">F789+G789+H789</f>
        <v>1896</v>
      </c>
    </row>
    <row r="790" customFormat="false" ht="12.8" hidden="false" customHeight="false" outlineLevel="0" collapsed="false">
      <c r="A790" s="2" t="s">
        <v>251</v>
      </c>
      <c r="B790" s="2" t="s">
        <v>264</v>
      </c>
      <c r="C790" s="2" t="s">
        <v>221</v>
      </c>
      <c r="D790" s="2" t="n">
        <v>1475</v>
      </c>
      <c r="E790" s="2" t="n">
        <v>0</v>
      </c>
      <c r="F790" s="2" t="n">
        <v>0</v>
      </c>
      <c r="G790" s="2" t="n">
        <v>1418</v>
      </c>
      <c r="H790" s="2" t="n">
        <v>625</v>
      </c>
      <c r="I790" s="2" t="n">
        <v>1099</v>
      </c>
      <c r="J790" s="2" t="n">
        <v>986</v>
      </c>
      <c r="K790" s="2" t="n">
        <v>3827</v>
      </c>
      <c r="L790" s="2" t="n">
        <v>0</v>
      </c>
      <c r="M790" s="2" t="n">
        <v>93</v>
      </c>
      <c r="N790" s="2" t="n">
        <v>179</v>
      </c>
      <c r="O790" s="2" t="n">
        <v>2158</v>
      </c>
      <c r="Q790" s="2" t="n">
        <f aca="false">F790+G790+H790</f>
        <v>2043</v>
      </c>
    </row>
    <row r="791" customFormat="false" ht="12.8" hidden="false" customHeight="false" outlineLevel="0" collapsed="false">
      <c r="A791" s="2" t="s">
        <v>251</v>
      </c>
      <c r="B791" s="2" t="s">
        <v>264</v>
      </c>
      <c r="C791" s="2" t="s">
        <v>222</v>
      </c>
      <c r="D791" s="2" t="n">
        <v>1362</v>
      </c>
      <c r="E791" s="2" t="n">
        <v>0</v>
      </c>
      <c r="F791" s="2" t="n">
        <v>0</v>
      </c>
      <c r="G791" s="2" t="n">
        <v>1299</v>
      </c>
      <c r="H791" s="2" t="n">
        <v>587</v>
      </c>
      <c r="I791" s="2" t="n">
        <v>1068</v>
      </c>
      <c r="J791" s="2" t="n">
        <v>784</v>
      </c>
      <c r="K791" s="2" t="n">
        <v>3600</v>
      </c>
      <c r="L791" s="2" t="n">
        <v>0</v>
      </c>
      <c r="M791" s="2" t="n">
        <v>49</v>
      </c>
      <c r="N791" s="2" t="n">
        <v>125</v>
      </c>
      <c r="O791" s="2" t="n">
        <v>2153</v>
      </c>
      <c r="Q791" s="2" t="n">
        <f aca="false">F791+G791+H791</f>
        <v>1886</v>
      </c>
    </row>
    <row r="792" customFormat="false" ht="12.8" hidden="false" customHeight="false" outlineLevel="0" collapsed="false">
      <c r="A792" s="2" t="s">
        <v>251</v>
      </c>
      <c r="B792" s="2" t="s">
        <v>264</v>
      </c>
      <c r="C792" s="2" t="s">
        <v>223</v>
      </c>
      <c r="D792" s="2" t="n">
        <v>1384</v>
      </c>
      <c r="E792" s="2" t="n">
        <v>0</v>
      </c>
      <c r="F792" s="2" t="n">
        <v>0</v>
      </c>
      <c r="G792" s="2" t="n">
        <v>1414</v>
      </c>
      <c r="H792" s="2" t="n">
        <v>592</v>
      </c>
      <c r="I792" s="2" t="n">
        <v>1040</v>
      </c>
      <c r="J792" s="2" t="n">
        <v>893</v>
      </c>
      <c r="K792" s="2" t="n">
        <v>3787</v>
      </c>
      <c r="L792" s="2" t="n">
        <v>0</v>
      </c>
      <c r="M792" s="2" t="n">
        <v>65</v>
      </c>
      <c r="N792" s="2" t="n">
        <v>155</v>
      </c>
      <c r="O792" s="2" t="n">
        <v>2261</v>
      </c>
      <c r="Q792" s="2" t="n">
        <f aca="false">F792+G792+H792</f>
        <v>2006</v>
      </c>
    </row>
    <row r="793" customFormat="false" ht="12.8" hidden="false" customHeight="false" outlineLevel="0" collapsed="false">
      <c r="A793" s="2" t="s">
        <v>251</v>
      </c>
      <c r="B793" s="2" t="s">
        <v>264</v>
      </c>
      <c r="C793" s="2" t="s">
        <v>224</v>
      </c>
      <c r="D793" s="2" t="n">
        <v>1279</v>
      </c>
      <c r="E793" s="2" t="n">
        <v>0</v>
      </c>
      <c r="F793" s="2" t="n">
        <v>0</v>
      </c>
      <c r="G793" s="2" t="n">
        <v>1348</v>
      </c>
      <c r="H793" s="2" t="n">
        <v>543</v>
      </c>
      <c r="I793" s="2" t="n">
        <v>954</v>
      </c>
      <c r="J793" s="2" t="n">
        <v>882</v>
      </c>
      <c r="K793" s="2" t="n">
        <v>3417</v>
      </c>
      <c r="L793" s="2" t="n">
        <v>0</v>
      </c>
      <c r="M793" s="2" t="n">
        <v>60</v>
      </c>
      <c r="N793" s="2" t="n">
        <v>182</v>
      </c>
      <c r="O793" s="2" t="n">
        <v>1895</v>
      </c>
      <c r="Q793" s="2" t="n">
        <f aca="false">F793+G793+H793</f>
        <v>1891</v>
      </c>
    </row>
    <row r="794" customFormat="false" ht="12.8" hidden="false" customHeight="false" outlineLevel="0" collapsed="false">
      <c r="A794" s="2" t="s">
        <v>252</v>
      </c>
      <c r="B794" s="2" t="s">
        <v>264</v>
      </c>
      <c r="C794" s="2" t="s">
        <v>212</v>
      </c>
      <c r="D794" s="2" t="n">
        <v>1822</v>
      </c>
      <c r="E794" s="2" t="n">
        <v>0</v>
      </c>
      <c r="F794" s="2" t="n">
        <v>0</v>
      </c>
      <c r="G794" s="2" t="n">
        <v>1119</v>
      </c>
      <c r="H794" s="2" t="n">
        <v>964</v>
      </c>
      <c r="I794" s="2" t="n">
        <v>1219</v>
      </c>
      <c r="J794" s="2" t="n">
        <v>877</v>
      </c>
      <c r="K794" s="2" t="n">
        <v>3873</v>
      </c>
      <c r="L794" s="2" t="n">
        <v>0</v>
      </c>
      <c r="M794" s="2" t="n">
        <v>0</v>
      </c>
      <c r="N794" s="2" t="n">
        <v>112</v>
      </c>
      <c r="O794" s="2" t="n">
        <v>2370</v>
      </c>
      <c r="Q794" s="2" t="n">
        <f aca="false">F794+G794+H794</f>
        <v>2083</v>
      </c>
    </row>
    <row r="795" customFormat="false" ht="12.8" hidden="false" customHeight="false" outlineLevel="0" collapsed="false">
      <c r="A795" s="2" t="s">
        <v>252</v>
      </c>
      <c r="B795" s="2" t="s">
        <v>264</v>
      </c>
      <c r="C795" s="2" t="s">
        <v>217</v>
      </c>
      <c r="D795" s="2" t="n">
        <v>1740</v>
      </c>
      <c r="E795" s="2" t="n">
        <v>0</v>
      </c>
      <c r="F795" s="2" t="n">
        <v>0</v>
      </c>
      <c r="G795" s="2" t="n">
        <v>1114</v>
      </c>
      <c r="H795" s="2" t="n">
        <v>1057</v>
      </c>
      <c r="I795" s="2" t="n">
        <v>1286</v>
      </c>
      <c r="J795" s="2" t="n">
        <v>926</v>
      </c>
      <c r="K795" s="2" t="n">
        <v>4199</v>
      </c>
      <c r="L795" s="2" t="n">
        <v>0</v>
      </c>
      <c r="M795" s="2" t="n">
        <v>0</v>
      </c>
      <c r="N795" s="2" t="n">
        <v>120</v>
      </c>
      <c r="O795" s="2" t="n">
        <v>2226</v>
      </c>
      <c r="Q795" s="2" t="n">
        <f aca="false">F795+G795+H795</f>
        <v>2171</v>
      </c>
    </row>
    <row r="796" customFormat="false" ht="12.8" hidden="false" customHeight="false" outlineLevel="0" collapsed="false">
      <c r="A796" s="2" t="s">
        <v>252</v>
      </c>
      <c r="B796" s="2" t="s">
        <v>264</v>
      </c>
      <c r="C796" s="2" t="s">
        <v>218</v>
      </c>
      <c r="D796" s="2" t="n">
        <v>1749</v>
      </c>
      <c r="E796" s="2" t="n">
        <v>0</v>
      </c>
      <c r="F796" s="2" t="n">
        <v>0</v>
      </c>
      <c r="G796" s="2" t="n">
        <v>1139</v>
      </c>
      <c r="H796" s="2" t="n">
        <v>1100</v>
      </c>
      <c r="I796" s="2" t="n">
        <v>1273</v>
      </c>
      <c r="J796" s="2" t="n">
        <v>945</v>
      </c>
      <c r="K796" s="2" t="n">
        <v>4006</v>
      </c>
      <c r="L796" s="2" t="n">
        <v>0</v>
      </c>
      <c r="M796" s="2" t="n">
        <v>0</v>
      </c>
      <c r="N796" s="2" t="n">
        <v>154</v>
      </c>
      <c r="O796" s="2" t="n">
        <v>2023</v>
      </c>
      <c r="Q796" s="2" t="n">
        <f aca="false">F796+G796+H796</f>
        <v>2239</v>
      </c>
    </row>
    <row r="797" customFormat="false" ht="12.8" hidden="false" customHeight="false" outlineLevel="0" collapsed="false">
      <c r="A797" s="2" t="s">
        <v>252</v>
      </c>
      <c r="B797" s="2" t="s">
        <v>264</v>
      </c>
      <c r="C797" s="2" t="s">
        <v>219</v>
      </c>
      <c r="D797" s="2" t="n">
        <v>1656</v>
      </c>
      <c r="E797" s="2" t="n">
        <v>0</v>
      </c>
      <c r="F797" s="2" t="n">
        <v>0</v>
      </c>
      <c r="G797" s="2" t="n">
        <v>1140</v>
      </c>
      <c r="H797" s="2" t="n">
        <v>1081</v>
      </c>
      <c r="I797" s="2" t="n">
        <v>1269</v>
      </c>
      <c r="J797" s="2" t="n">
        <v>1111</v>
      </c>
      <c r="K797" s="2" t="n">
        <v>3749</v>
      </c>
      <c r="L797" s="2" t="n">
        <v>0</v>
      </c>
      <c r="M797" s="2" t="n">
        <v>0</v>
      </c>
      <c r="N797" s="2" t="n">
        <v>152</v>
      </c>
      <c r="O797" s="2" t="n">
        <v>2043</v>
      </c>
      <c r="Q797" s="2" t="n">
        <f aca="false">F797+G797+H797</f>
        <v>2221</v>
      </c>
    </row>
    <row r="798" customFormat="false" ht="12.8" hidden="false" customHeight="false" outlineLevel="0" collapsed="false">
      <c r="A798" s="2" t="s">
        <v>252</v>
      </c>
      <c r="B798" s="2" t="s">
        <v>264</v>
      </c>
      <c r="C798" s="2" t="s">
        <v>220</v>
      </c>
      <c r="D798" s="2" t="n">
        <v>1542</v>
      </c>
      <c r="E798" s="2" t="n">
        <v>0</v>
      </c>
      <c r="F798" s="2" t="n">
        <v>0</v>
      </c>
      <c r="G798" s="2" t="n">
        <v>1043</v>
      </c>
      <c r="H798" s="2" t="n">
        <v>1073</v>
      </c>
      <c r="I798" s="2" t="n">
        <v>1129</v>
      </c>
      <c r="J798" s="2" t="n">
        <v>1222</v>
      </c>
      <c r="K798" s="2" t="n">
        <v>3808</v>
      </c>
      <c r="L798" s="2" t="n">
        <v>0</v>
      </c>
      <c r="M798" s="2" t="n">
        <v>0</v>
      </c>
      <c r="N798" s="2" t="n">
        <v>189</v>
      </c>
      <c r="O798" s="2" t="n">
        <v>2136</v>
      </c>
      <c r="Q798" s="2" t="n">
        <f aca="false">F798+G798+H798</f>
        <v>2116</v>
      </c>
    </row>
    <row r="799" customFormat="false" ht="12.8" hidden="false" customHeight="false" outlineLevel="0" collapsed="false">
      <c r="A799" s="2" t="s">
        <v>252</v>
      </c>
      <c r="B799" s="2" t="s">
        <v>264</v>
      </c>
      <c r="C799" s="2" t="s">
        <v>221</v>
      </c>
      <c r="D799" s="2" t="n">
        <v>1514</v>
      </c>
      <c r="E799" s="2" t="n">
        <v>0</v>
      </c>
      <c r="F799" s="2" t="n">
        <v>0</v>
      </c>
      <c r="G799" s="2" t="n">
        <v>1127</v>
      </c>
      <c r="H799" s="2" t="n">
        <v>1056</v>
      </c>
      <c r="I799" s="2" t="n">
        <v>1336</v>
      </c>
      <c r="J799" s="2" t="n">
        <v>1025</v>
      </c>
      <c r="K799" s="2" t="n">
        <v>4195</v>
      </c>
      <c r="L799" s="2" t="n">
        <v>0</v>
      </c>
      <c r="M799" s="2" t="n">
        <v>0</v>
      </c>
      <c r="N799" s="2" t="n">
        <v>143</v>
      </c>
      <c r="O799" s="2" t="n">
        <v>2296</v>
      </c>
      <c r="Q799" s="2" t="n">
        <f aca="false">F799+G799+H799</f>
        <v>2183</v>
      </c>
    </row>
    <row r="800" customFormat="false" ht="12.8" hidden="false" customHeight="false" outlineLevel="0" collapsed="false">
      <c r="A800" s="2" t="s">
        <v>252</v>
      </c>
      <c r="B800" s="2" t="s">
        <v>264</v>
      </c>
      <c r="C800" s="2" t="s">
        <v>222</v>
      </c>
      <c r="D800" s="2" t="n">
        <v>1411</v>
      </c>
      <c r="E800" s="2" t="n">
        <v>0</v>
      </c>
      <c r="F800" s="2" t="n">
        <v>0</v>
      </c>
      <c r="G800" s="2" t="n">
        <v>1069</v>
      </c>
      <c r="H800" s="2" t="n">
        <v>1038</v>
      </c>
      <c r="I800" s="2" t="n">
        <v>1114</v>
      </c>
      <c r="J800" s="2" t="n">
        <v>1019</v>
      </c>
      <c r="K800" s="2" t="n">
        <v>4165</v>
      </c>
      <c r="L800" s="2" t="n">
        <v>0</v>
      </c>
      <c r="M800" s="2" t="n">
        <v>0</v>
      </c>
      <c r="N800" s="2" t="n">
        <v>180</v>
      </c>
      <c r="O800" s="2" t="n">
        <v>2068</v>
      </c>
      <c r="Q800" s="2" t="n">
        <f aca="false">F800+G800+H800</f>
        <v>2107</v>
      </c>
    </row>
    <row r="801" customFormat="false" ht="12.8" hidden="false" customHeight="false" outlineLevel="0" collapsed="false">
      <c r="A801" s="2" t="s">
        <v>252</v>
      </c>
      <c r="B801" s="2" t="s">
        <v>264</v>
      </c>
      <c r="C801" s="2" t="s">
        <v>223</v>
      </c>
      <c r="D801" s="2" t="n">
        <v>1500</v>
      </c>
      <c r="E801" s="2" t="n">
        <v>0</v>
      </c>
      <c r="F801" s="2" t="n">
        <v>0</v>
      </c>
      <c r="G801" s="2" t="n">
        <v>1225</v>
      </c>
      <c r="H801" s="2" t="n">
        <v>1023</v>
      </c>
      <c r="I801" s="2" t="n">
        <v>1265</v>
      </c>
      <c r="J801" s="2" t="n">
        <v>1055</v>
      </c>
      <c r="K801" s="2" t="n">
        <v>4495</v>
      </c>
      <c r="L801" s="2" t="n">
        <v>0</v>
      </c>
      <c r="M801" s="2" t="n">
        <v>0</v>
      </c>
      <c r="N801" s="2" t="n">
        <v>185</v>
      </c>
      <c r="O801" s="2" t="n">
        <v>2443</v>
      </c>
      <c r="Q801" s="2" t="n">
        <f aca="false">F801+G801+H801</f>
        <v>2248</v>
      </c>
    </row>
    <row r="802" customFormat="false" ht="12.8" hidden="false" customHeight="false" outlineLevel="0" collapsed="false">
      <c r="A802" s="2" t="s">
        <v>252</v>
      </c>
      <c r="B802" s="2" t="s">
        <v>264</v>
      </c>
      <c r="C802" s="2" t="s">
        <v>224</v>
      </c>
      <c r="D802" s="2" t="n">
        <v>1391</v>
      </c>
      <c r="E802" s="2" t="n">
        <v>0</v>
      </c>
      <c r="F802" s="2" t="n">
        <v>0</v>
      </c>
      <c r="G802" s="2" t="n">
        <v>1189</v>
      </c>
      <c r="H802" s="2" t="n">
        <v>1025</v>
      </c>
      <c r="I802" s="2" t="n">
        <v>1336</v>
      </c>
      <c r="J802" s="2" t="n">
        <v>968</v>
      </c>
      <c r="K802" s="2" t="n">
        <v>4307</v>
      </c>
      <c r="L802" s="2" t="n">
        <v>0</v>
      </c>
      <c r="M802" s="2" t="n">
        <v>0</v>
      </c>
      <c r="N802" s="2" t="n">
        <v>200</v>
      </c>
      <c r="O802" s="2" t="n">
        <v>2342</v>
      </c>
      <c r="Q802" s="2" t="n">
        <f aca="false">F802+G802+H802</f>
        <v>2214</v>
      </c>
    </row>
    <row r="803" customFormat="false" ht="12.8" hidden="false" customHeight="false" outlineLevel="0" collapsed="false">
      <c r="A803" s="2" t="s">
        <v>253</v>
      </c>
      <c r="B803" s="2" t="s">
        <v>264</v>
      </c>
      <c r="C803" s="2" t="s">
        <v>212</v>
      </c>
      <c r="D803" s="2" t="n">
        <v>344</v>
      </c>
      <c r="E803" s="2" t="n">
        <v>0</v>
      </c>
      <c r="F803" s="2" t="n">
        <v>0</v>
      </c>
      <c r="G803" s="2" t="n">
        <v>138</v>
      </c>
      <c r="H803" s="2" t="n">
        <v>290</v>
      </c>
      <c r="I803" s="2" t="n">
        <v>206</v>
      </c>
      <c r="J803" s="2" t="n">
        <v>67</v>
      </c>
      <c r="K803" s="2" t="n">
        <v>268</v>
      </c>
      <c r="L803" s="2" t="n">
        <v>0</v>
      </c>
      <c r="M803" s="2" t="n">
        <v>0</v>
      </c>
      <c r="N803" s="2" t="n">
        <v>127</v>
      </c>
      <c r="O803" s="2" t="n">
        <v>23</v>
      </c>
      <c r="Q803" s="2" t="n">
        <f aca="false">F803+G803+H803</f>
        <v>428</v>
      </c>
    </row>
    <row r="804" customFormat="false" ht="12.8" hidden="false" customHeight="false" outlineLevel="0" collapsed="false">
      <c r="A804" s="2" t="s">
        <v>253</v>
      </c>
      <c r="B804" s="2" t="s">
        <v>264</v>
      </c>
      <c r="C804" s="2" t="s">
        <v>217</v>
      </c>
      <c r="D804" s="2" t="n">
        <v>336</v>
      </c>
      <c r="E804" s="2" t="n">
        <v>0</v>
      </c>
      <c r="F804" s="2" t="n">
        <v>0</v>
      </c>
      <c r="G804" s="2" t="n">
        <v>168</v>
      </c>
      <c r="H804" s="2" t="n">
        <v>321</v>
      </c>
      <c r="I804" s="2" t="n">
        <v>228</v>
      </c>
      <c r="J804" s="2" t="n">
        <v>39</v>
      </c>
      <c r="K804" s="2" t="n">
        <v>375</v>
      </c>
      <c r="L804" s="2" t="n">
        <v>0</v>
      </c>
      <c r="M804" s="2" t="n">
        <v>0</v>
      </c>
      <c r="N804" s="2" t="n">
        <v>150</v>
      </c>
      <c r="O804" s="2" t="n">
        <v>17</v>
      </c>
      <c r="Q804" s="2" t="n">
        <f aca="false">F804+G804+H804</f>
        <v>489</v>
      </c>
    </row>
    <row r="805" customFormat="false" ht="12.8" hidden="false" customHeight="false" outlineLevel="0" collapsed="false">
      <c r="A805" s="2" t="s">
        <v>253</v>
      </c>
      <c r="B805" s="2" t="s">
        <v>264</v>
      </c>
      <c r="C805" s="2" t="s">
        <v>218</v>
      </c>
      <c r="D805" s="2" t="n">
        <v>298</v>
      </c>
      <c r="E805" s="2" t="n">
        <v>0</v>
      </c>
      <c r="F805" s="2" t="n">
        <v>0</v>
      </c>
      <c r="G805" s="2" t="n">
        <v>170</v>
      </c>
      <c r="H805" s="2" t="n">
        <v>331</v>
      </c>
      <c r="I805" s="2" t="n">
        <v>175</v>
      </c>
      <c r="J805" s="2" t="n">
        <v>102</v>
      </c>
      <c r="K805" s="2" t="n">
        <v>327</v>
      </c>
      <c r="L805" s="2" t="n">
        <v>0</v>
      </c>
      <c r="M805" s="2" t="n">
        <v>0</v>
      </c>
      <c r="N805" s="2" t="n">
        <v>107</v>
      </c>
      <c r="O805" s="2" t="n">
        <v>17</v>
      </c>
      <c r="Q805" s="2" t="n">
        <f aca="false">F805+G805+H805</f>
        <v>501</v>
      </c>
    </row>
    <row r="806" customFormat="false" ht="12.8" hidden="false" customHeight="false" outlineLevel="0" collapsed="false">
      <c r="A806" s="2" t="s">
        <v>253</v>
      </c>
      <c r="B806" s="2" t="s">
        <v>264</v>
      </c>
      <c r="C806" s="2" t="s">
        <v>219</v>
      </c>
      <c r="D806" s="2" t="n">
        <v>266</v>
      </c>
      <c r="E806" s="2" t="n">
        <v>0</v>
      </c>
      <c r="F806" s="2" t="n">
        <v>0</v>
      </c>
      <c r="G806" s="2" t="n">
        <v>139</v>
      </c>
      <c r="H806" s="2" t="n">
        <v>360</v>
      </c>
      <c r="I806" s="2" t="n">
        <v>205</v>
      </c>
      <c r="J806" s="2" t="n">
        <v>74</v>
      </c>
      <c r="K806" s="2" t="n">
        <v>330</v>
      </c>
      <c r="L806" s="2" t="n">
        <v>0</v>
      </c>
      <c r="M806" s="2" t="n">
        <v>0</v>
      </c>
      <c r="N806" s="2" t="n">
        <v>140</v>
      </c>
      <c r="O806" s="2" t="n">
        <v>19</v>
      </c>
      <c r="Q806" s="2" t="n">
        <f aca="false">F806+G806+H806</f>
        <v>499</v>
      </c>
    </row>
    <row r="807" customFormat="false" ht="12.8" hidden="false" customHeight="false" outlineLevel="0" collapsed="false">
      <c r="A807" s="2" t="s">
        <v>253</v>
      </c>
      <c r="B807" s="2" t="s">
        <v>264</v>
      </c>
      <c r="C807" s="2" t="s">
        <v>220</v>
      </c>
      <c r="D807" s="2" t="n">
        <v>266</v>
      </c>
      <c r="E807" s="2" t="n">
        <v>0</v>
      </c>
      <c r="F807" s="2" t="n">
        <v>0</v>
      </c>
      <c r="G807" s="2" t="n">
        <v>144</v>
      </c>
      <c r="H807" s="2" t="n">
        <v>349</v>
      </c>
      <c r="I807" s="2" t="n">
        <v>251</v>
      </c>
      <c r="J807" s="2" t="n">
        <v>20</v>
      </c>
      <c r="K807" s="2" t="n">
        <v>370</v>
      </c>
      <c r="L807" s="2" t="n">
        <v>0</v>
      </c>
      <c r="M807" s="2" t="n">
        <v>0</v>
      </c>
      <c r="N807" s="2" t="n">
        <v>129</v>
      </c>
      <c r="O807" s="2" t="n">
        <v>5</v>
      </c>
      <c r="Q807" s="2" t="n">
        <f aca="false">F807+G807+H807</f>
        <v>493</v>
      </c>
    </row>
    <row r="808" customFormat="false" ht="12.8" hidden="false" customHeight="false" outlineLevel="0" collapsed="false">
      <c r="A808" s="2" t="s">
        <v>253</v>
      </c>
      <c r="B808" s="2" t="s">
        <v>264</v>
      </c>
      <c r="C808" s="2" t="s">
        <v>221</v>
      </c>
      <c r="D808" s="2" t="n">
        <v>231</v>
      </c>
      <c r="E808" s="2" t="n">
        <v>0</v>
      </c>
      <c r="F808" s="2" t="n">
        <v>0</v>
      </c>
      <c r="G808" s="2" t="n">
        <v>137</v>
      </c>
      <c r="H808" s="2" t="n">
        <v>337</v>
      </c>
      <c r="I808" s="2" t="n">
        <v>229</v>
      </c>
      <c r="J808" s="2" t="n">
        <v>29</v>
      </c>
      <c r="K808" s="2" t="n">
        <v>327</v>
      </c>
      <c r="L808" s="2" t="n">
        <v>0</v>
      </c>
      <c r="M808" s="2" t="n">
        <v>0</v>
      </c>
      <c r="N808" s="2" t="n">
        <v>125</v>
      </c>
      <c r="O808" s="2" t="n">
        <v>7</v>
      </c>
      <c r="Q808" s="2" t="n">
        <f aca="false">F808+G808+H808</f>
        <v>474</v>
      </c>
    </row>
    <row r="809" customFormat="false" ht="12.8" hidden="false" customHeight="false" outlineLevel="0" collapsed="false">
      <c r="A809" s="2" t="s">
        <v>253</v>
      </c>
      <c r="B809" s="2" t="s">
        <v>264</v>
      </c>
      <c r="C809" s="2" t="s">
        <v>222</v>
      </c>
      <c r="D809" s="2" t="n">
        <v>330</v>
      </c>
      <c r="E809" s="2" t="n">
        <v>0</v>
      </c>
      <c r="F809" s="2" t="n">
        <v>0</v>
      </c>
      <c r="G809" s="2" t="n">
        <v>224</v>
      </c>
      <c r="H809" s="2" t="n">
        <v>411</v>
      </c>
      <c r="I809" s="2" t="n">
        <v>244</v>
      </c>
      <c r="J809" s="2" t="n">
        <v>178</v>
      </c>
      <c r="K809" s="2" t="n">
        <v>339</v>
      </c>
      <c r="L809" s="2" t="n">
        <v>0</v>
      </c>
      <c r="M809" s="2" t="n">
        <v>0</v>
      </c>
      <c r="N809" s="2" t="n">
        <v>131</v>
      </c>
      <c r="O809" s="2" t="n">
        <v>18</v>
      </c>
      <c r="Q809" s="2" t="n">
        <f aca="false">F809+G809+H809</f>
        <v>635</v>
      </c>
    </row>
    <row r="810" customFormat="false" ht="12.8" hidden="false" customHeight="false" outlineLevel="0" collapsed="false">
      <c r="A810" s="2" t="s">
        <v>253</v>
      </c>
      <c r="B810" s="2" t="s">
        <v>264</v>
      </c>
      <c r="C810" s="2" t="s">
        <v>223</v>
      </c>
      <c r="D810" s="2" t="n">
        <v>333</v>
      </c>
      <c r="E810" s="2" t="n">
        <v>0</v>
      </c>
      <c r="F810" s="2" t="n">
        <v>0</v>
      </c>
      <c r="G810" s="2" t="n">
        <v>202</v>
      </c>
      <c r="H810" s="2" t="n">
        <v>483</v>
      </c>
      <c r="I810" s="2" t="n">
        <v>310</v>
      </c>
      <c r="J810" s="2" t="n">
        <v>218</v>
      </c>
      <c r="K810" s="2" t="n">
        <v>275</v>
      </c>
      <c r="L810" s="2" t="n">
        <v>0</v>
      </c>
      <c r="M810" s="2" t="n">
        <v>0</v>
      </c>
      <c r="N810" s="2" t="n">
        <v>157</v>
      </c>
      <c r="O810" s="2" t="n">
        <v>23</v>
      </c>
      <c r="Q810" s="2" t="n">
        <f aca="false">F810+G810+H810</f>
        <v>685</v>
      </c>
    </row>
    <row r="811" customFormat="false" ht="12.8" hidden="false" customHeight="false" outlineLevel="0" collapsed="false">
      <c r="A811" s="2" t="s">
        <v>253</v>
      </c>
      <c r="B811" s="2" t="s">
        <v>264</v>
      </c>
      <c r="C811" s="2" t="s">
        <v>224</v>
      </c>
      <c r="D811" s="2" t="n">
        <v>387</v>
      </c>
      <c r="E811" s="2" t="n">
        <v>0</v>
      </c>
      <c r="F811" s="2" t="n">
        <v>0</v>
      </c>
      <c r="G811" s="2" t="n">
        <v>276</v>
      </c>
      <c r="H811" s="2" t="n">
        <v>475</v>
      </c>
      <c r="I811" s="2" t="n">
        <v>374</v>
      </c>
      <c r="J811" s="2" t="n">
        <v>225</v>
      </c>
      <c r="K811" s="2" t="n">
        <v>332</v>
      </c>
      <c r="L811" s="2" t="n">
        <v>0</v>
      </c>
      <c r="M811" s="2" t="n">
        <v>0</v>
      </c>
      <c r="N811" s="2" t="n">
        <v>127</v>
      </c>
      <c r="O811" s="2" t="n">
        <v>20</v>
      </c>
      <c r="Q811" s="2" t="n">
        <f aca="false">F811+G811+H811</f>
        <v>751</v>
      </c>
    </row>
    <row r="812" customFormat="false" ht="12.8" hidden="false" customHeight="false" outlineLevel="0" collapsed="false">
      <c r="A812" s="2" t="s">
        <v>254</v>
      </c>
      <c r="B812" s="2" t="s">
        <v>264</v>
      </c>
      <c r="C812" s="2" t="s">
        <v>212</v>
      </c>
      <c r="D812" s="2" t="n">
        <v>882</v>
      </c>
      <c r="E812" s="2" t="n">
        <v>0</v>
      </c>
      <c r="F812" s="2" t="n">
        <v>0</v>
      </c>
      <c r="G812" s="2" t="n">
        <v>518</v>
      </c>
      <c r="H812" s="2" t="n">
        <v>627</v>
      </c>
      <c r="I812" s="2" t="n">
        <v>772</v>
      </c>
      <c r="J812" s="2" t="n">
        <v>67</v>
      </c>
      <c r="K812" s="2" t="n">
        <v>304</v>
      </c>
      <c r="L812" s="2" t="n">
        <v>0</v>
      </c>
      <c r="M812" s="2" t="n">
        <v>83</v>
      </c>
      <c r="N812" s="2" t="n">
        <v>226</v>
      </c>
      <c r="O812" s="2" t="n">
        <v>837</v>
      </c>
      <c r="Q812" s="2" t="n">
        <f aca="false">F812+G812+H812</f>
        <v>1145</v>
      </c>
    </row>
    <row r="813" customFormat="false" ht="12.8" hidden="false" customHeight="false" outlineLevel="0" collapsed="false">
      <c r="A813" s="2" t="s">
        <v>254</v>
      </c>
      <c r="B813" s="2" t="s">
        <v>264</v>
      </c>
      <c r="C813" s="2" t="s">
        <v>217</v>
      </c>
      <c r="D813" s="2" t="n">
        <v>790</v>
      </c>
      <c r="E813" s="2" t="n">
        <v>0</v>
      </c>
      <c r="F813" s="2" t="n">
        <v>0</v>
      </c>
      <c r="G813" s="2" t="n">
        <v>538</v>
      </c>
      <c r="H813" s="2" t="n">
        <v>662</v>
      </c>
      <c r="I813" s="2" t="n">
        <v>840</v>
      </c>
      <c r="J813" s="2" t="n">
        <v>96</v>
      </c>
      <c r="K813" s="2" t="n">
        <v>333</v>
      </c>
      <c r="L813" s="2" t="n">
        <v>0</v>
      </c>
      <c r="M813" s="2" t="n">
        <v>130</v>
      </c>
      <c r="N813" s="2" t="n">
        <v>260</v>
      </c>
      <c r="O813" s="2" t="n">
        <v>974</v>
      </c>
      <c r="Q813" s="2" t="n">
        <f aca="false">F813+G813+H813</f>
        <v>1200</v>
      </c>
    </row>
    <row r="814" customFormat="false" ht="12.8" hidden="false" customHeight="false" outlineLevel="0" collapsed="false">
      <c r="A814" s="2" t="s">
        <v>254</v>
      </c>
      <c r="B814" s="2" t="s">
        <v>264</v>
      </c>
      <c r="C814" s="2" t="s">
        <v>218</v>
      </c>
      <c r="D814" s="2" t="n">
        <v>620</v>
      </c>
      <c r="E814" s="2" t="n">
        <v>0</v>
      </c>
      <c r="F814" s="2" t="n">
        <v>0</v>
      </c>
      <c r="G814" s="2" t="n">
        <v>452</v>
      </c>
      <c r="H814" s="2" t="n">
        <v>764</v>
      </c>
      <c r="I814" s="2" t="n">
        <v>787</v>
      </c>
      <c r="J814" s="2" t="n">
        <v>39</v>
      </c>
      <c r="K814" s="2" t="n">
        <v>312</v>
      </c>
      <c r="L814" s="2" t="n">
        <v>0</v>
      </c>
      <c r="M814" s="2" t="n">
        <v>173</v>
      </c>
      <c r="N814" s="2" t="n">
        <v>301</v>
      </c>
      <c r="O814" s="2" t="n">
        <v>829</v>
      </c>
      <c r="Q814" s="2" t="n">
        <f aca="false">F814+G814+H814</f>
        <v>1216</v>
      </c>
    </row>
    <row r="815" customFormat="false" ht="12.8" hidden="false" customHeight="false" outlineLevel="0" collapsed="false">
      <c r="A815" s="2" t="s">
        <v>254</v>
      </c>
      <c r="B815" s="2" t="s">
        <v>264</v>
      </c>
      <c r="C815" s="2" t="s">
        <v>219</v>
      </c>
      <c r="D815" s="2" t="n">
        <v>568</v>
      </c>
      <c r="E815" s="2" t="n">
        <v>0</v>
      </c>
      <c r="F815" s="2" t="n">
        <v>0</v>
      </c>
      <c r="G815" s="2" t="n">
        <v>468</v>
      </c>
      <c r="H815" s="2" t="n">
        <v>737</v>
      </c>
      <c r="I815" s="2" t="n">
        <v>772</v>
      </c>
      <c r="J815" s="2" t="n">
        <v>67</v>
      </c>
      <c r="K815" s="2" t="n">
        <v>329</v>
      </c>
      <c r="L815" s="2" t="n">
        <v>0</v>
      </c>
      <c r="M815" s="2" t="n">
        <v>122</v>
      </c>
      <c r="N815" s="2" t="n">
        <v>229</v>
      </c>
      <c r="O815" s="2" t="n">
        <v>881</v>
      </c>
      <c r="Q815" s="2" t="n">
        <f aca="false">F815+G815+H815</f>
        <v>1205</v>
      </c>
    </row>
    <row r="816" customFormat="false" ht="12.8" hidden="false" customHeight="false" outlineLevel="0" collapsed="false">
      <c r="A816" s="2" t="s">
        <v>254</v>
      </c>
      <c r="B816" s="2" t="s">
        <v>264</v>
      </c>
      <c r="C816" s="2" t="s">
        <v>220</v>
      </c>
      <c r="D816" s="2" t="n">
        <v>502</v>
      </c>
      <c r="E816" s="2" t="n">
        <v>0</v>
      </c>
      <c r="F816" s="2" t="n">
        <v>0</v>
      </c>
      <c r="G816" s="2" t="n">
        <v>404</v>
      </c>
      <c r="H816" s="2" t="n">
        <v>760</v>
      </c>
      <c r="I816" s="2" t="n">
        <v>688</v>
      </c>
      <c r="J816" s="2" t="n">
        <v>74</v>
      </c>
      <c r="K816" s="2" t="n">
        <v>352</v>
      </c>
      <c r="L816" s="2" t="n">
        <v>0</v>
      </c>
      <c r="M816" s="2" t="n">
        <v>153</v>
      </c>
      <c r="N816" s="2" t="n">
        <v>257</v>
      </c>
      <c r="O816" s="2" t="n">
        <v>896</v>
      </c>
      <c r="Q816" s="2" t="n">
        <f aca="false">F816+G816+H816</f>
        <v>1164</v>
      </c>
    </row>
    <row r="817" customFormat="false" ht="12.8" hidden="false" customHeight="false" outlineLevel="0" collapsed="false">
      <c r="A817" s="2" t="s">
        <v>254</v>
      </c>
      <c r="B817" s="2" t="s">
        <v>264</v>
      </c>
      <c r="C817" s="2" t="s">
        <v>221</v>
      </c>
      <c r="D817" s="2" t="n">
        <v>499</v>
      </c>
      <c r="E817" s="2" t="n">
        <v>0</v>
      </c>
      <c r="F817" s="2" t="n">
        <v>0</v>
      </c>
      <c r="G817" s="2" t="n">
        <v>331</v>
      </c>
      <c r="H817" s="2" t="n">
        <v>751</v>
      </c>
      <c r="I817" s="2" t="n">
        <v>691</v>
      </c>
      <c r="J817" s="2" t="n">
        <v>42</v>
      </c>
      <c r="K817" s="2" t="n">
        <v>292</v>
      </c>
      <c r="L817" s="2" t="n">
        <v>0</v>
      </c>
      <c r="M817" s="2" t="n">
        <v>109</v>
      </c>
      <c r="N817" s="2" t="n">
        <v>190</v>
      </c>
      <c r="O817" s="2" t="n">
        <v>799</v>
      </c>
      <c r="Q817" s="2" t="n">
        <f aca="false">F817+G817+H817</f>
        <v>1082</v>
      </c>
    </row>
    <row r="818" customFormat="false" ht="12.8" hidden="false" customHeight="false" outlineLevel="0" collapsed="false">
      <c r="A818" s="2" t="s">
        <v>254</v>
      </c>
      <c r="B818" s="2" t="s">
        <v>264</v>
      </c>
      <c r="C818" s="2" t="s">
        <v>222</v>
      </c>
      <c r="D818" s="2" t="n">
        <v>530</v>
      </c>
      <c r="E818" s="2" t="n">
        <v>0</v>
      </c>
      <c r="F818" s="2" t="n">
        <v>0</v>
      </c>
      <c r="G818" s="2" t="n">
        <v>376</v>
      </c>
      <c r="H818" s="2" t="n">
        <v>818</v>
      </c>
      <c r="I818" s="2" t="n">
        <v>861</v>
      </c>
      <c r="J818" s="2" t="n">
        <v>21</v>
      </c>
      <c r="K818" s="2" t="n">
        <v>292</v>
      </c>
      <c r="L818" s="2" t="n">
        <v>0</v>
      </c>
      <c r="M818" s="2" t="n">
        <v>79</v>
      </c>
      <c r="N818" s="2" t="n">
        <v>175</v>
      </c>
      <c r="O818" s="2" t="n">
        <v>903</v>
      </c>
      <c r="Q818" s="2" t="n">
        <f aca="false">F818+G818+H818</f>
        <v>1194</v>
      </c>
    </row>
    <row r="819" customFormat="false" ht="12.8" hidden="false" customHeight="false" outlineLevel="0" collapsed="false">
      <c r="A819" s="2" t="s">
        <v>254</v>
      </c>
      <c r="B819" s="2" t="s">
        <v>264</v>
      </c>
      <c r="C819" s="2" t="s">
        <v>223</v>
      </c>
      <c r="D819" s="2" t="n">
        <v>509</v>
      </c>
      <c r="E819" s="2" t="n">
        <v>0</v>
      </c>
      <c r="F819" s="2" t="n">
        <v>0</v>
      </c>
      <c r="G819" s="2" t="n">
        <v>351</v>
      </c>
      <c r="H819" s="2" t="n">
        <v>741</v>
      </c>
      <c r="I819" s="2" t="n">
        <v>876</v>
      </c>
      <c r="J819" s="2" t="n">
        <v>48</v>
      </c>
      <c r="K819" s="2" t="n">
        <v>174</v>
      </c>
      <c r="L819" s="2" t="n">
        <v>0</v>
      </c>
      <c r="M819" s="2" t="n">
        <v>44</v>
      </c>
      <c r="N819" s="2" t="n">
        <v>46</v>
      </c>
      <c r="O819" s="2" t="n">
        <v>850</v>
      </c>
      <c r="Q819" s="2" t="n">
        <f aca="false">F819+G819+H819</f>
        <v>1092</v>
      </c>
    </row>
    <row r="820" customFormat="false" ht="12.8" hidden="false" customHeight="false" outlineLevel="0" collapsed="false">
      <c r="A820" s="2" t="s">
        <v>254</v>
      </c>
      <c r="B820" s="2" t="s">
        <v>264</v>
      </c>
      <c r="C820" s="2" t="s">
        <v>224</v>
      </c>
      <c r="D820" s="2" t="n">
        <v>523</v>
      </c>
      <c r="E820" s="2" t="n">
        <v>0</v>
      </c>
      <c r="F820" s="2" t="n">
        <v>0</v>
      </c>
      <c r="G820" s="2" t="n">
        <v>408</v>
      </c>
      <c r="H820" s="2" t="n">
        <v>833</v>
      </c>
      <c r="I820" s="2" t="n">
        <v>910</v>
      </c>
      <c r="J820" s="2" t="n">
        <v>39</v>
      </c>
      <c r="K820" s="2" t="n">
        <v>299</v>
      </c>
      <c r="L820" s="2" t="n">
        <v>0</v>
      </c>
      <c r="M820" s="2" t="n">
        <v>54</v>
      </c>
      <c r="N820" s="2" t="n">
        <v>223</v>
      </c>
      <c r="O820" s="2" t="n">
        <v>987</v>
      </c>
      <c r="Q820" s="2" t="n">
        <f aca="false">F820+G820+H820</f>
        <v>1241</v>
      </c>
    </row>
    <row r="821" customFormat="false" ht="12.8" hidden="false" customHeight="false" outlineLevel="0" collapsed="false">
      <c r="A821" s="2" t="s">
        <v>255</v>
      </c>
      <c r="B821" s="2" t="s">
        <v>264</v>
      </c>
      <c r="C821" s="2" t="s">
        <v>212</v>
      </c>
      <c r="D821" s="2" t="n">
        <v>57</v>
      </c>
      <c r="E821" s="2" t="n">
        <v>0</v>
      </c>
      <c r="F821" s="2" t="n">
        <v>0</v>
      </c>
      <c r="G821" s="2" t="n">
        <v>0</v>
      </c>
      <c r="H821" s="2" t="n">
        <v>77</v>
      </c>
      <c r="I821" s="2" t="n">
        <v>25</v>
      </c>
      <c r="J821" s="2" t="n">
        <v>0</v>
      </c>
      <c r="K821" s="2" t="n">
        <v>54</v>
      </c>
      <c r="L821" s="2" t="n">
        <v>0</v>
      </c>
      <c r="M821" s="2" t="n">
        <v>6</v>
      </c>
      <c r="N821" s="2" t="n">
        <v>67</v>
      </c>
      <c r="O821" s="2" t="n">
        <v>32</v>
      </c>
      <c r="Q821" s="2" t="n">
        <f aca="false">F821+G821+H821</f>
        <v>77</v>
      </c>
    </row>
    <row r="822" customFormat="false" ht="12.8" hidden="false" customHeight="false" outlineLevel="0" collapsed="false">
      <c r="A822" s="2" t="s">
        <v>255</v>
      </c>
      <c r="B822" s="2" t="s">
        <v>264</v>
      </c>
      <c r="C822" s="2" t="s">
        <v>217</v>
      </c>
      <c r="D822" s="2" t="n">
        <v>363</v>
      </c>
      <c r="E822" s="2" t="n">
        <v>0</v>
      </c>
      <c r="F822" s="2" t="n">
        <v>0</v>
      </c>
      <c r="G822" s="2" t="n">
        <v>188</v>
      </c>
      <c r="H822" s="2" t="n">
        <v>293</v>
      </c>
      <c r="I822" s="2" t="n">
        <v>244</v>
      </c>
      <c r="J822" s="2" t="n">
        <v>0</v>
      </c>
      <c r="K822" s="2" t="n">
        <v>493</v>
      </c>
      <c r="L822" s="2" t="n">
        <v>0</v>
      </c>
      <c r="M822" s="2" t="n">
        <v>14</v>
      </c>
      <c r="N822" s="2" t="n">
        <v>325</v>
      </c>
      <c r="O822" s="2" t="n">
        <v>183</v>
      </c>
      <c r="Q822" s="2" t="n">
        <f aca="false">F822+G822+H822</f>
        <v>481</v>
      </c>
    </row>
    <row r="823" customFormat="false" ht="12.8" hidden="false" customHeight="false" outlineLevel="0" collapsed="false">
      <c r="A823" s="2" t="s">
        <v>255</v>
      </c>
      <c r="B823" s="2" t="s">
        <v>264</v>
      </c>
      <c r="C823" s="2" t="s">
        <v>218</v>
      </c>
      <c r="D823" s="2" t="n">
        <v>434</v>
      </c>
      <c r="E823" s="2" t="n">
        <v>0</v>
      </c>
      <c r="F823" s="2" t="n">
        <v>0</v>
      </c>
      <c r="G823" s="2" t="n">
        <v>219</v>
      </c>
      <c r="H823" s="2" t="n">
        <v>362</v>
      </c>
      <c r="I823" s="2" t="n">
        <v>234</v>
      </c>
      <c r="J823" s="2" t="n">
        <v>0</v>
      </c>
      <c r="K823" s="2" t="n">
        <v>661</v>
      </c>
      <c r="L823" s="2" t="n">
        <v>0</v>
      </c>
      <c r="M823" s="2" t="n">
        <v>6</v>
      </c>
      <c r="N823" s="2" t="n">
        <v>516</v>
      </c>
      <c r="O823" s="2" t="n">
        <v>270</v>
      </c>
      <c r="Q823" s="2" t="n">
        <f aca="false">F823+G823+H823</f>
        <v>581</v>
      </c>
    </row>
    <row r="824" customFormat="false" ht="12.8" hidden="false" customHeight="false" outlineLevel="0" collapsed="false">
      <c r="A824" s="2" t="s">
        <v>255</v>
      </c>
      <c r="B824" s="2" t="s">
        <v>264</v>
      </c>
      <c r="C824" s="2" t="s">
        <v>219</v>
      </c>
      <c r="D824" s="2" t="n">
        <v>423</v>
      </c>
      <c r="E824" s="2" t="n">
        <v>0</v>
      </c>
      <c r="F824" s="2" t="n">
        <v>0</v>
      </c>
      <c r="G824" s="2" t="n">
        <v>220</v>
      </c>
      <c r="H824" s="2" t="n">
        <v>479</v>
      </c>
      <c r="I824" s="2" t="n">
        <v>321</v>
      </c>
      <c r="J824" s="2" t="n">
        <v>0</v>
      </c>
      <c r="K824" s="2" t="n">
        <v>778</v>
      </c>
      <c r="L824" s="2" t="n">
        <v>0</v>
      </c>
      <c r="M824" s="2" t="n">
        <v>29</v>
      </c>
      <c r="N824" s="2" t="n">
        <v>583</v>
      </c>
      <c r="O824" s="2" t="n">
        <v>362</v>
      </c>
      <c r="Q824" s="2" t="n">
        <f aca="false">F824+G824+H824</f>
        <v>699</v>
      </c>
    </row>
    <row r="825" customFormat="false" ht="12.8" hidden="false" customHeight="false" outlineLevel="0" collapsed="false">
      <c r="A825" s="2" t="s">
        <v>255</v>
      </c>
      <c r="B825" s="2" t="s">
        <v>264</v>
      </c>
      <c r="C825" s="2" t="s">
        <v>220</v>
      </c>
      <c r="D825" s="2" t="n">
        <v>597</v>
      </c>
      <c r="E825" s="2" t="n">
        <v>0</v>
      </c>
      <c r="F825" s="2" t="n">
        <v>0</v>
      </c>
      <c r="G825" s="2" t="n">
        <v>341</v>
      </c>
      <c r="H825" s="2" t="n">
        <v>620</v>
      </c>
      <c r="I825" s="2" t="n">
        <v>530</v>
      </c>
      <c r="J825" s="2" t="n">
        <v>0</v>
      </c>
      <c r="K825" s="2" t="n">
        <v>951</v>
      </c>
      <c r="L825" s="2" t="n">
        <v>0</v>
      </c>
      <c r="M825" s="2" t="n">
        <v>115</v>
      </c>
      <c r="N825" s="2" t="n">
        <v>781</v>
      </c>
      <c r="O825" s="2" t="n">
        <v>620</v>
      </c>
      <c r="Q825" s="2" t="n">
        <f aca="false">F825+G825+H825</f>
        <v>961</v>
      </c>
    </row>
    <row r="826" customFormat="false" ht="12.8" hidden="false" customHeight="false" outlineLevel="0" collapsed="false">
      <c r="A826" s="2" t="s">
        <v>255</v>
      </c>
      <c r="B826" s="2" t="s">
        <v>264</v>
      </c>
      <c r="C826" s="2" t="s">
        <v>221</v>
      </c>
      <c r="D826" s="2" t="n">
        <v>602</v>
      </c>
      <c r="E826" s="2" t="n">
        <v>0</v>
      </c>
      <c r="F826" s="2" t="n">
        <v>0</v>
      </c>
      <c r="G826" s="2" t="n">
        <v>376</v>
      </c>
      <c r="H826" s="2" t="n">
        <v>696</v>
      </c>
      <c r="I826" s="2" t="n">
        <v>597</v>
      </c>
      <c r="J826" s="2" t="n">
        <v>0</v>
      </c>
      <c r="K826" s="2" t="n">
        <v>1007</v>
      </c>
      <c r="L826" s="2" t="n">
        <v>0</v>
      </c>
      <c r="M826" s="2" t="n">
        <v>217</v>
      </c>
      <c r="N826" s="2" t="n">
        <v>890</v>
      </c>
      <c r="O826" s="2" t="n">
        <v>609</v>
      </c>
      <c r="Q826" s="2" t="n">
        <f aca="false">F826+G826+H826</f>
        <v>1072</v>
      </c>
    </row>
    <row r="827" customFormat="false" ht="12.8" hidden="false" customHeight="false" outlineLevel="0" collapsed="false">
      <c r="A827" s="2" t="s">
        <v>255</v>
      </c>
      <c r="B827" s="2" t="s">
        <v>264</v>
      </c>
      <c r="C827" s="2" t="s">
        <v>222</v>
      </c>
      <c r="D827" s="2" t="n">
        <v>533</v>
      </c>
      <c r="E827" s="2" t="n">
        <v>0</v>
      </c>
      <c r="F827" s="2" t="n">
        <v>0</v>
      </c>
      <c r="G827" s="2" t="n">
        <v>376</v>
      </c>
      <c r="H827" s="2" t="n">
        <v>729</v>
      </c>
      <c r="I827" s="2" t="n">
        <v>628</v>
      </c>
      <c r="J827" s="2" t="n">
        <v>0</v>
      </c>
      <c r="K827" s="2" t="n">
        <v>1048</v>
      </c>
      <c r="L827" s="2" t="n">
        <v>0</v>
      </c>
      <c r="M827" s="2" t="n">
        <v>254</v>
      </c>
      <c r="N827" s="2" t="n">
        <v>892</v>
      </c>
      <c r="O827" s="2" t="n">
        <v>478</v>
      </c>
      <c r="Q827" s="2" t="n">
        <f aca="false">F827+G827+H827</f>
        <v>1105</v>
      </c>
    </row>
    <row r="828" customFormat="false" ht="12.8" hidden="false" customHeight="false" outlineLevel="0" collapsed="false">
      <c r="A828" s="2" t="s">
        <v>255</v>
      </c>
      <c r="B828" s="2" t="s">
        <v>264</v>
      </c>
      <c r="C828" s="2" t="s">
        <v>223</v>
      </c>
      <c r="D828" s="2" t="n">
        <v>517</v>
      </c>
      <c r="E828" s="2" t="n">
        <v>0</v>
      </c>
      <c r="F828" s="2" t="n">
        <v>0</v>
      </c>
      <c r="G828" s="2" t="n">
        <v>391</v>
      </c>
      <c r="H828" s="2" t="n">
        <v>739</v>
      </c>
      <c r="I828" s="2" t="n">
        <v>536</v>
      </c>
      <c r="J828" s="2" t="n">
        <v>0</v>
      </c>
      <c r="K828" s="2" t="n">
        <v>879</v>
      </c>
      <c r="L828" s="2" t="n">
        <v>0</v>
      </c>
      <c r="M828" s="2" t="n">
        <v>444</v>
      </c>
      <c r="N828" s="2" t="n">
        <v>922</v>
      </c>
      <c r="O828" s="2" t="n">
        <v>469</v>
      </c>
      <c r="Q828" s="2" t="n">
        <f aca="false">F828+G828+H828</f>
        <v>1130</v>
      </c>
    </row>
    <row r="829" customFormat="false" ht="12.8" hidden="false" customHeight="false" outlineLevel="0" collapsed="false">
      <c r="A829" s="2" t="s">
        <v>255</v>
      </c>
      <c r="B829" s="2" t="s">
        <v>264</v>
      </c>
      <c r="C829" s="2" t="s">
        <v>224</v>
      </c>
      <c r="D829" s="2" t="n">
        <v>463</v>
      </c>
      <c r="E829" s="2" t="n">
        <v>0</v>
      </c>
      <c r="F829" s="2" t="n">
        <v>0</v>
      </c>
      <c r="G829" s="2" t="n">
        <v>325</v>
      </c>
      <c r="H829" s="2" t="n">
        <v>811</v>
      </c>
      <c r="I829" s="2" t="n">
        <v>531</v>
      </c>
      <c r="J829" s="2" t="n">
        <v>0</v>
      </c>
      <c r="K829" s="2" t="n">
        <v>919</v>
      </c>
      <c r="L829" s="2" t="n">
        <v>0</v>
      </c>
      <c r="M829" s="2" t="n">
        <v>463</v>
      </c>
      <c r="N829" s="2" t="n">
        <v>960</v>
      </c>
      <c r="O829" s="2" t="n">
        <v>675</v>
      </c>
      <c r="Q829" s="2" t="n">
        <f aca="false">F829+G829+H829</f>
        <v>1136</v>
      </c>
    </row>
    <row r="830" customFormat="false" ht="12.8" hidden="false" customHeight="false" outlineLevel="0" collapsed="false">
      <c r="A830" s="2" t="s">
        <v>256</v>
      </c>
      <c r="B830" s="2" t="s">
        <v>264</v>
      </c>
      <c r="C830" s="2" t="s">
        <v>212</v>
      </c>
      <c r="D830" s="2" t="n">
        <v>176</v>
      </c>
      <c r="E830" s="2" t="n">
        <v>36</v>
      </c>
      <c r="F830" s="2" t="n">
        <v>0</v>
      </c>
      <c r="G830" s="2" t="n">
        <v>856</v>
      </c>
      <c r="H830" s="2" t="n">
        <v>368</v>
      </c>
      <c r="I830" s="2" t="n">
        <v>1036</v>
      </c>
      <c r="J830" s="2" t="n">
        <v>21</v>
      </c>
      <c r="K830" s="2" t="n">
        <v>869</v>
      </c>
      <c r="L830" s="2" t="n">
        <v>0</v>
      </c>
      <c r="M830" s="2" t="n">
        <v>243</v>
      </c>
      <c r="N830" s="2" t="n">
        <v>26</v>
      </c>
      <c r="O830" s="2" t="n">
        <v>288</v>
      </c>
      <c r="Q830" s="2" t="n">
        <f aca="false">F830+G830+H830</f>
        <v>1224</v>
      </c>
    </row>
    <row r="831" customFormat="false" ht="12.8" hidden="false" customHeight="false" outlineLevel="0" collapsed="false">
      <c r="A831" s="2" t="s">
        <v>256</v>
      </c>
      <c r="B831" s="2" t="s">
        <v>264</v>
      </c>
      <c r="C831" s="2" t="s">
        <v>217</v>
      </c>
      <c r="D831" s="2" t="n">
        <v>140</v>
      </c>
      <c r="E831" s="2" t="n">
        <v>12</v>
      </c>
      <c r="F831" s="2" t="n">
        <v>0</v>
      </c>
      <c r="G831" s="2" t="n">
        <v>981</v>
      </c>
      <c r="H831" s="2" t="n">
        <v>307</v>
      </c>
      <c r="I831" s="2" t="n">
        <v>1102</v>
      </c>
      <c r="J831" s="2" t="n">
        <v>25</v>
      </c>
      <c r="K831" s="2" t="n">
        <v>540</v>
      </c>
      <c r="L831" s="2" t="n">
        <v>0</v>
      </c>
      <c r="M831" s="2" t="n">
        <v>284</v>
      </c>
      <c r="N831" s="2" t="n">
        <v>52</v>
      </c>
      <c r="O831" s="2" t="n">
        <v>189</v>
      </c>
      <c r="Q831" s="2" t="n">
        <f aca="false">F831+G831+H831</f>
        <v>1288</v>
      </c>
    </row>
    <row r="832" customFormat="false" ht="12.8" hidden="false" customHeight="false" outlineLevel="0" collapsed="false">
      <c r="A832" s="2" t="s">
        <v>256</v>
      </c>
      <c r="B832" s="2" t="s">
        <v>264</v>
      </c>
      <c r="C832" s="2" t="s">
        <v>218</v>
      </c>
      <c r="D832" s="2" t="n">
        <v>130</v>
      </c>
      <c r="E832" s="2" t="n">
        <v>13</v>
      </c>
      <c r="F832" s="2" t="n">
        <v>0</v>
      </c>
      <c r="G832" s="2" t="n">
        <v>959</v>
      </c>
      <c r="H832" s="2" t="n">
        <v>286</v>
      </c>
      <c r="I832" s="2" t="n">
        <v>1049</v>
      </c>
      <c r="J832" s="2" t="n">
        <v>31</v>
      </c>
      <c r="K832" s="2" t="n">
        <v>643</v>
      </c>
      <c r="L832" s="2" t="n">
        <v>0</v>
      </c>
      <c r="M832" s="2" t="n">
        <v>291</v>
      </c>
      <c r="N832" s="2" t="n">
        <v>32</v>
      </c>
      <c r="O832" s="2" t="n">
        <v>136</v>
      </c>
      <c r="Q832" s="2" t="n">
        <f aca="false">F832+G832+H832</f>
        <v>1245</v>
      </c>
    </row>
    <row r="833" customFormat="false" ht="12.8" hidden="false" customHeight="false" outlineLevel="0" collapsed="false">
      <c r="A833" s="2" t="s">
        <v>256</v>
      </c>
      <c r="B833" s="2" t="s">
        <v>264</v>
      </c>
      <c r="C833" s="2" t="s">
        <v>219</v>
      </c>
      <c r="D833" s="2" t="n">
        <v>147</v>
      </c>
      <c r="E833" s="2" t="n">
        <v>22</v>
      </c>
      <c r="F833" s="2" t="n">
        <v>0</v>
      </c>
      <c r="G833" s="2" t="n">
        <v>776</v>
      </c>
      <c r="H833" s="2" t="n">
        <v>247</v>
      </c>
      <c r="I833" s="2" t="n">
        <v>898</v>
      </c>
      <c r="J833" s="2" t="n">
        <v>8</v>
      </c>
      <c r="K833" s="2" t="n">
        <v>507</v>
      </c>
      <c r="L833" s="2" t="n">
        <v>0</v>
      </c>
      <c r="M833" s="2" t="n">
        <v>219</v>
      </c>
      <c r="N833" s="2" t="n">
        <v>29</v>
      </c>
      <c r="O833" s="2" t="n">
        <v>136</v>
      </c>
      <c r="Q833" s="2" t="n">
        <f aca="false">F833+G833+H833</f>
        <v>1023</v>
      </c>
    </row>
    <row r="834" customFormat="false" ht="12.8" hidden="false" customHeight="false" outlineLevel="0" collapsed="false">
      <c r="A834" s="2" t="s">
        <v>256</v>
      </c>
      <c r="B834" s="2" t="s">
        <v>264</v>
      </c>
      <c r="C834" s="2" t="s">
        <v>220</v>
      </c>
      <c r="D834" s="2" t="n">
        <v>117</v>
      </c>
      <c r="E834" s="2" t="n">
        <v>13</v>
      </c>
      <c r="F834" s="2" t="n">
        <v>0</v>
      </c>
      <c r="G834" s="2" t="n">
        <v>759</v>
      </c>
      <c r="H834" s="2" t="n">
        <v>219</v>
      </c>
      <c r="I834" s="2" t="n">
        <v>859</v>
      </c>
      <c r="J834" s="2" t="n">
        <v>0</v>
      </c>
      <c r="K834" s="2" t="n">
        <v>404</v>
      </c>
      <c r="L834" s="2" t="n">
        <v>0</v>
      </c>
      <c r="M834" s="2" t="n">
        <v>219</v>
      </c>
      <c r="N834" s="2" t="n">
        <v>19</v>
      </c>
      <c r="O834" s="2" t="n">
        <v>100</v>
      </c>
      <c r="Q834" s="2" t="n">
        <f aca="false">F834+G834+H834</f>
        <v>978</v>
      </c>
    </row>
    <row r="835" customFormat="false" ht="12.8" hidden="false" customHeight="false" outlineLevel="0" collapsed="false">
      <c r="A835" s="2" t="s">
        <v>256</v>
      </c>
      <c r="B835" s="2" t="s">
        <v>264</v>
      </c>
      <c r="C835" s="2" t="s">
        <v>221</v>
      </c>
      <c r="D835" s="2" t="n">
        <v>126</v>
      </c>
      <c r="E835" s="2" t="n">
        <v>18</v>
      </c>
      <c r="F835" s="2" t="n">
        <v>0</v>
      </c>
      <c r="G835" s="2" t="n">
        <v>815</v>
      </c>
      <c r="H835" s="2" t="n">
        <v>262</v>
      </c>
      <c r="I835" s="2" t="n">
        <v>940</v>
      </c>
      <c r="J835" s="2" t="n">
        <v>18</v>
      </c>
      <c r="K835" s="2" t="n">
        <v>320</v>
      </c>
      <c r="L835" s="2" t="n">
        <v>0</v>
      </c>
      <c r="M835" s="2" t="n">
        <v>225</v>
      </c>
      <c r="N835" s="2" t="n">
        <v>15</v>
      </c>
      <c r="O835" s="2" t="n">
        <v>119</v>
      </c>
      <c r="Q835" s="2" t="n">
        <f aca="false">F835+G835+H835</f>
        <v>1077</v>
      </c>
    </row>
    <row r="836" customFormat="false" ht="12.8" hidden="false" customHeight="false" outlineLevel="0" collapsed="false">
      <c r="A836" s="2" t="s">
        <v>256</v>
      </c>
      <c r="B836" s="2" t="s">
        <v>264</v>
      </c>
      <c r="C836" s="2" t="s">
        <v>222</v>
      </c>
      <c r="D836" s="2" t="n">
        <v>220</v>
      </c>
      <c r="E836" s="2" t="n">
        <v>37</v>
      </c>
      <c r="F836" s="2" t="n">
        <v>0</v>
      </c>
      <c r="G836" s="2" t="n">
        <v>1150</v>
      </c>
      <c r="H836" s="2" t="n">
        <v>362</v>
      </c>
      <c r="I836" s="2" t="n">
        <v>1285</v>
      </c>
      <c r="J836" s="2" t="n">
        <v>51</v>
      </c>
      <c r="K836" s="2" t="n">
        <v>586</v>
      </c>
      <c r="L836" s="2" t="n">
        <v>0</v>
      </c>
      <c r="M836" s="2" t="n">
        <v>283</v>
      </c>
      <c r="N836" s="2" t="n">
        <v>33</v>
      </c>
      <c r="O836" s="2" t="n">
        <v>145</v>
      </c>
      <c r="Q836" s="2" t="n">
        <f aca="false">F836+G836+H836</f>
        <v>1512</v>
      </c>
    </row>
    <row r="837" customFormat="false" ht="12.8" hidden="false" customHeight="false" outlineLevel="0" collapsed="false">
      <c r="A837" s="2" t="s">
        <v>256</v>
      </c>
      <c r="B837" s="2" t="s">
        <v>264</v>
      </c>
      <c r="C837" s="2" t="s">
        <v>223</v>
      </c>
      <c r="D837" s="2" t="n">
        <v>188</v>
      </c>
      <c r="E837" s="2" t="n">
        <v>8</v>
      </c>
      <c r="F837" s="2" t="n">
        <v>0</v>
      </c>
      <c r="G837" s="2" t="n">
        <v>943</v>
      </c>
      <c r="H837" s="2" t="n">
        <v>324</v>
      </c>
      <c r="I837" s="2" t="n">
        <v>1036</v>
      </c>
      <c r="J837" s="2" t="n">
        <v>65</v>
      </c>
      <c r="K837" s="2" t="n">
        <v>489</v>
      </c>
      <c r="L837" s="2" t="n">
        <v>0</v>
      </c>
      <c r="M837" s="2" t="n">
        <v>213</v>
      </c>
      <c r="N837" s="2" t="n">
        <v>30</v>
      </c>
      <c r="O837" s="2" t="n">
        <v>159</v>
      </c>
      <c r="Q837" s="2" t="n">
        <f aca="false">F837+G837+H837</f>
        <v>1267</v>
      </c>
    </row>
    <row r="838" customFormat="false" ht="12.8" hidden="false" customHeight="false" outlineLevel="0" collapsed="false">
      <c r="A838" s="2" t="s">
        <v>256</v>
      </c>
      <c r="B838" s="2" t="s">
        <v>264</v>
      </c>
      <c r="C838" s="2" t="s">
        <v>224</v>
      </c>
      <c r="D838" s="2" t="n">
        <v>212</v>
      </c>
      <c r="E838" s="2" t="n">
        <v>18</v>
      </c>
      <c r="F838" s="2" t="n">
        <v>0</v>
      </c>
      <c r="G838" s="2" t="n">
        <v>962</v>
      </c>
      <c r="H838" s="2" t="n">
        <v>352</v>
      </c>
      <c r="I838" s="2" t="n">
        <v>985</v>
      </c>
      <c r="J838" s="2" t="n">
        <v>66</v>
      </c>
      <c r="K838" s="2" t="n">
        <v>517</v>
      </c>
      <c r="L838" s="2" t="n">
        <v>0</v>
      </c>
      <c r="M838" s="2" t="n">
        <v>303</v>
      </c>
      <c r="N838" s="2" t="n">
        <v>56</v>
      </c>
      <c r="O838" s="2" t="n">
        <v>187</v>
      </c>
      <c r="Q838" s="2" t="n">
        <f aca="false">F838+G838+H838</f>
        <v>1314</v>
      </c>
    </row>
    <row r="839" customFormat="false" ht="12.8" hidden="false" customHeight="false" outlineLevel="0" collapsed="false">
      <c r="A839" s="2" t="s">
        <v>257</v>
      </c>
      <c r="B839" s="2" t="s">
        <v>264</v>
      </c>
      <c r="C839" s="2" t="s">
        <v>212</v>
      </c>
      <c r="D839" s="2" t="n">
        <v>1041</v>
      </c>
      <c r="E839" s="2" t="n">
        <v>0</v>
      </c>
      <c r="F839" s="2" t="n">
        <v>175</v>
      </c>
      <c r="G839" s="2" t="n">
        <v>335</v>
      </c>
      <c r="H839" s="2" t="n">
        <v>900</v>
      </c>
      <c r="I839" s="2" t="n">
        <v>926</v>
      </c>
      <c r="J839" s="2" t="n">
        <v>123</v>
      </c>
      <c r="K839" s="2" t="n">
        <v>961</v>
      </c>
      <c r="L839" s="2" t="n">
        <v>0</v>
      </c>
      <c r="M839" s="2" t="n">
        <v>78</v>
      </c>
      <c r="N839" s="2" t="n">
        <v>857</v>
      </c>
      <c r="O839" s="2" t="n">
        <v>644</v>
      </c>
      <c r="Q839" s="2" t="n">
        <f aca="false">F839+G839+H839</f>
        <v>1410</v>
      </c>
    </row>
    <row r="840" customFormat="false" ht="12.8" hidden="false" customHeight="false" outlineLevel="0" collapsed="false">
      <c r="A840" s="2" t="s">
        <v>257</v>
      </c>
      <c r="B840" s="2" t="s">
        <v>264</v>
      </c>
      <c r="C840" s="2" t="s">
        <v>217</v>
      </c>
      <c r="D840" s="2" t="n">
        <v>773</v>
      </c>
      <c r="E840" s="2" t="n">
        <v>0</v>
      </c>
      <c r="F840" s="2" t="n">
        <v>200</v>
      </c>
      <c r="G840" s="2" t="n">
        <v>313</v>
      </c>
      <c r="H840" s="2" t="n">
        <v>968</v>
      </c>
      <c r="I840" s="2" t="n">
        <v>884</v>
      </c>
      <c r="J840" s="2" t="n">
        <v>158</v>
      </c>
      <c r="K840" s="2" t="n">
        <v>1008</v>
      </c>
      <c r="L840" s="2" t="n">
        <v>0</v>
      </c>
      <c r="M840" s="2" t="n">
        <v>76</v>
      </c>
      <c r="N840" s="2" t="n">
        <v>834</v>
      </c>
      <c r="O840" s="2" t="n">
        <v>645</v>
      </c>
      <c r="Q840" s="2" t="n">
        <f aca="false">F840+G840+H840</f>
        <v>1481</v>
      </c>
    </row>
    <row r="841" customFormat="false" ht="12.8" hidden="false" customHeight="false" outlineLevel="0" collapsed="false">
      <c r="A841" s="2" t="s">
        <v>257</v>
      </c>
      <c r="B841" s="2" t="s">
        <v>264</v>
      </c>
      <c r="C841" s="2" t="s">
        <v>218</v>
      </c>
      <c r="D841" s="2" t="n">
        <v>758</v>
      </c>
      <c r="E841" s="2" t="n">
        <v>0</v>
      </c>
      <c r="F841" s="2" t="n">
        <v>184</v>
      </c>
      <c r="G841" s="2" t="n">
        <v>357</v>
      </c>
      <c r="H841" s="2" t="n">
        <v>1122</v>
      </c>
      <c r="I841" s="2" t="n">
        <v>1076</v>
      </c>
      <c r="J841" s="2" t="n">
        <v>91</v>
      </c>
      <c r="K841" s="2" t="n">
        <v>1059</v>
      </c>
      <c r="L841" s="2" t="n">
        <v>0</v>
      </c>
      <c r="M841" s="2" t="n">
        <v>110</v>
      </c>
      <c r="N841" s="2" t="n">
        <v>940</v>
      </c>
      <c r="O841" s="2" t="n">
        <v>670</v>
      </c>
      <c r="Q841" s="2" t="n">
        <f aca="false">F841+G841+H841</f>
        <v>1663</v>
      </c>
    </row>
    <row r="842" customFormat="false" ht="12.8" hidden="false" customHeight="false" outlineLevel="0" collapsed="false">
      <c r="A842" s="2" t="s">
        <v>257</v>
      </c>
      <c r="B842" s="2" t="s">
        <v>264</v>
      </c>
      <c r="C842" s="2" t="s">
        <v>219</v>
      </c>
      <c r="D842" s="2" t="n">
        <v>725</v>
      </c>
      <c r="E842" s="2" t="n">
        <v>0</v>
      </c>
      <c r="F842" s="2" t="n">
        <v>246</v>
      </c>
      <c r="G842" s="2" t="n">
        <v>442</v>
      </c>
      <c r="H842" s="2" t="n">
        <v>1056</v>
      </c>
      <c r="I842" s="2" t="n">
        <v>1095</v>
      </c>
      <c r="J842" s="2" t="n">
        <v>170</v>
      </c>
      <c r="K842" s="2" t="n">
        <v>1097</v>
      </c>
      <c r="L842" s="2" t="n">
        <v>0</v>
      </c>
      <c r="M842" s="2" t="n">
        <v>118</v>
      </c>
      <c r="N842" s="2" t="n">
        <v>951</v>
      </c>
      <c r="O842" s="2" t="n">
        <v>800</v>
      </c>
      <c r="Q842" s="2" t="n">
        <f aca="false">F842+G842+H842</f>
        <v>1744</v>
      </c>
    </row>
    <row r="843" customFormat="false" ht="12.8" hidden="false" customHeight="false" outlineLevel="0" collapsed="false">
      <c r="A843" s="2" t="s">
        <v>257</v>
      </c>
      <c r="B843" s="2" t="s">
        <v>264</v>
      </c>
      <c r="C843" s="2" t="s">
        <v>220</v>
      </c>
      <c r="D843" s="2" t="n">
        <v>902</v>
      </c>
      <c r="E843" s="2" t="n">
        <v>0</v>
      </c>
      <c r="F843" s="2" t="n">
        <v>226</v>
      </c>
      <c r="G843" s="2" t="n">
        <v>576</v>
      </c>
      <c r="H843" s="2" t="n">
        <v>1267</v>
      </c>
      <c r="I843" s="2" t="n">
        <v>1350</v>
      </c>
      <c r="J843" s="2" t="n">
        <v>133</v>
      </c>
      <c r="K843" s="2" t="n">
        <v>1304</v>
      </c>
      <c r="L843" s="2" t="n">
        <v>0</v>
      </c>
      <c r="M843" s="2" t="n">
        <v>166</v>
      </c>
      <c r="N843" s="2" t="n">
        <v>1199</v>
      </c>
      <c r="O843" s="2" t="n">
        <v>893</v>
      </c>
      <c r="Q843" s="2" t="n">
        <f aca="false">F843+G843+H843</f>
        <v>2069</v>
      </c>
    </row>
    <row r="844" customFormat="false" ht="12.8" hidden="false" customHeight="false" outlineLevel="0" collapsed="false">
      <c r="A844" s="2" t="s">
        <v>257</v>
      </c>
      <c r="B844" s="2" t="s">
        <v>264</v>
      </c>
      <c r="C844" s="2" t="s">
        <v>221</v>
      </c>
      <c r="D844" s="2" t="n">
        <v>736</v>
      </c>
      <c r="E844" s="2" t="n">
        <v>0</v>
      </c>
      <c r="F844" s="2" t="n">
        <v>213</v>
      </c>
      <c r="G844" s="2" t="n">
        <v>518</v>
      </c>
      <c r="H844" s="2" t="n">
        <v>1308</v>
      </c>
      <c r="I844" s="2" t="n">
        <v>1299</v>
      </c>
      <c r="J844" s="2" t="n">
        <v>118</v>
      </c>
      <c r="K844" s="2" t="n">
        <v>1270</v>
      </c>
      <c r="L844" s="2" t="n">
        <v>0</v>
      </c>
      <c r="M844" s="2" t="n">
        <v>191</v>
      </c>
      <c r="N844" s="2" t="n">
        <v>1195</v>
      </c>
      <c r="O844" s="2" t="n">
        <v>832</v>
      </c>
      <c r="Q844" s="2" t="n">
        <f aca="false">F844+G844+H844</f>
        <v>2039</v>
      </c>
    </row>
    <row r="845" customFormat="false" ht="12.8" hidden="false" customHeight="false" outlineLevel="0" collapsed="false">
      <c r="A845" s="2" t="s">
        <v>257</v>
      </c>
      <c r="B845" s="2" t="s">
        <v>264</v>
      </c>
      <c r="C845" s="2" t="s">
        <v>222</v>
      </c>
      <c r="D845" s="2" t="n">
        <v>648</v>
      </c>
      <c r="E845" s="2" t="n">
        <v>0</v>
      </c>
      <c r="F845" s="2" t="n">
        <v>272</v>
      </c>
      <c r="G845" s="2" t="n">
        <v>473</v>
      </c>
      <c r="H845" s="2" t="n">
        <v>1146</v>
      </c>
      <c r="I845" s="2" t="n">
        <v>1113</v>
      </c>
      <c r="J845" s="2" t="n">
        <v>165</v>
      </c>
      <c r="K845" s="2" t="n">
        <v>1276</v>
      </c>
      <c r="L845" s="2" t="n">
        <v>0</v>
      </c>
      <c r="M845" s="2" t="n">
        <v>150</v>
      </c>
      <c r="N845" s="2" t="n">
        <v>1088</v>
      </c>
      <c r="O845" s="2" t="n">
        <v>824</v>
      </c>
      <c r="Q845" s="2" t="n">
        <f aca="false">F845+G845+H845</f>
        <v>1891</v>
      </c>
    </row>
    <row r="846" customFormat="false" ht="12.8" hidden="false" customHeight="false" outlineLevel="0" collapsed="false">
      <c r="A846" s="2" t="s">
        <v>257</v>
      </c>
      <c r="B846" s="2" t="s">
        <v>264</v>
      </c>
      <c r="C846" s="2" t="s">
        <v>223</v>
      </c>
      <c r="D846" s="2" t="n">
        <v>594</v>
      </c>
      <c r="E846" s="2" t="n">
        <v>0</v>
      </c>
      <c r="F846" s="2" t="n">
        <v>225</v>
      </c>
      <c r="G846" s="2" t="n">
        <v>489</v>
      </c>
      <c r="H846" s="2" t="n">
        <v>1094</v>
      </c>
      <c r="I846" s="2" t="n">
        <v>1068</v>
      </c>
      <c r="J846" s="2" t="n">
        <v>173</v>
      </c>
      <c r="K846" s="2" t="n">
        <v>1348</v>
      </c>
      <c r="L846" s="2" t="n">
        <v>0</v>
      </c>
      <c r="M846" s="2" t="n">
        <v>125</v>
      </c>
      <c r="N846" s="2" t="n">
        <v>1220</v>
      </c>
      <c r="O846" s="2" t="n">
        <v>688</v>
      </c>
      <c r="Q846" s="2" t="n">
        <f aca="false">F846+G846+H846</f>
        <v>1808</v>
      </c>
    </row>
    <row r="847" customFormat="false" ht="12.8" hidden="false" customHeight="false" outlineLevel="0" collapsed="false">
      <c r="A847" s="2" t="s">
        <v>257</v>
      </c>
      <c r="B847" s="2" t="s">
        <v>264</v>
      </c>
      <c r="C847" s="2" t="s">
        <v>224</v>
      </c>
      <c r="D847" s="2" t="n">
        <v>600</v>
      </c>
      <c r="E847" s="2" t="n">
        <v>0</v>
      </c>
      <c r="F847" s="2" t="n">
        <v>164</v>
      </c>
      <c r="G847" s="2" t="n">
        <v>482</v>
      </c>
      <c r="H847" s="2" t="n">
        <v>1170</v>
      </c>
      <c r="I847" s="2" t="n">
        <v>1082</v>
      </c>
      <c r="J847" s="2" t="n">
        <v>113</v>
      </c>
      <c r="K847" s="2" t="n">
        <v>1542</v>
      </c>
      <c r="L847" s="2" t="n">
        <v>0</v>
      </c>
      <c r="M847" s="2" t="n">
        <v>125</v>
      </c>
      <c r="N847" s="2" t="n">
        <v>1272</v>
      </c>
      <c r="O847" s="2" t="n">
        <v>869</v>
      </c>
      <c r="Q847" s="2" t="n">
        <f aca="false">F847+G847+H847</f>
        <v>1816</v>
      </c>
    </row>
    <row r="848" customFormat="false" ht="12.8" hidden="false" customHeight="false" outlineLevel="0" collapsed="false">
      <c r="A848" s="2" t="s">
        <v>258</v>
      </c>
      <c r="B848" s="2" t="s">
        <v>264</v>
      </c>
      <c r="C848" s="2" t="s">
        <v>212</v>
      </c>
      <c r="D848" s="2" t="n">
        <v>238</v>
      </c>
      <c r="E848" s="2" t="n">
        <v>0</v>
      </c>
      <c r="F848" s="2" t="n">
        <v>0</v>
      </c>
      <c r="G848" s="2" t="n">
        <v>60</v>
      </c>
      <c r="H848" s="2" t="n">
        <v>193</v>
      </c>
      <c r="I848" s="2" t="n">
        <v>161</v>
      </c>
      <c r="J848" s="2" t="n">
        <v>78</v>
      </c>
      <c r="K848" s="2" t="n">
        <v>75</v>
      </c>
      <c r="L848" s="2" t="n">
        <v>0</v>
      </c>
      <c r="M848" s="2" t="n">
        <v>0</v>
      </c>
      <c r="N848" s="2" t="n">
        <v>49</v>
      </c>
      <c r="O848" s="2" t="n">
        <v>281</v>
      </c>
      <c r="Q848" s="2" t="n">
        <f aca="false">F848+G848+H848</f>
        <v>253</v>
      </c>
    </row>
    <row r="849" customFormat="false" ht="12.8" hidden="false" customHeight="false" outlineLevel="0" collapsed="false">
      <c r="A849" s="2" t="s">
        <v>258</v>
      </c>
      <c r="B849" s="2" t="s">
        <v>264</v>
      </c>
      <c r="C849" s="2" t="s">
        <v>217</v>
      </c>
      <c r="D849" s="2" t="n">
        <v>236</v>
      </c>
      <c r="E849" s="2" t="n">
        <v>0</v>
      </c>
      <c r="F849" s="2" t="n">
        <v>0</v>
      </c>
      <c r="G849" s="2" t="n">
        <v>68</v>
      </c>
      <c r="H849" s="2" t="n">
        <v>244</v>
      </c>
      <c r="I849" s="2" t="n">
        <v>161</v>
      </c>
      <c r="J849" s="2" t="n">
        <v>100</v>
      </c>
      <c r="K849" s="2" t="n">
        <v>126</v>
      </c>
      <c r="L849" s="2" t="n">
        <v>0</v>
      </c>
      <c r="M849" s="2" t="n">
        <v>0</v>
      </c>
      <c r="N849" s="2" t="n">
        <v>68</v>
      </c>
      <c r="O849" s="2" t="n">
        <v>359</v>
      </c>
      <c r="Q849" s="2" t="n">
        <f aca="false">F849+G849+H849</f>
        <v>312</v>
      </c>
    </row>
    <row r="850" customFormat="false" ht="12.8" hidden="false" customHeight="false" outlineLevel="0" collapsed="false">
      <c r="A850" s="2" t="s">
        <v>258</v>
      </c>
      <c r="B850" s="2" t="s">
        <v>264</v>
      </c>
      <c r="C850" s="2" t="s">
        <v>218</v>
      </c>
      <c r="D850" s="2" t="n">
        <v>229</v>
      </c>
      <c r="E850" s="2" t="n">
        <v>0</v>
      </c>
      <c r="F850" s="2" t="n">
        <v>0</v>
      </c>
      <c r="G850" s="2" t="n">
        <v>68</v>
      </c>
      <c r="H850" s="2" t="n">
        <v>288</v>
      </c>
      <c r="I850" s="2" t="n">
        <v>256</v>
      </c>
      <c r="J850" s="2" t="n">
        <v>61</v>
      </c>
      <c r="K850" s="2" t="n">
        <v>54</v>
      </c>
      <c r="L850" s="2" t="n">
        <v>0</v>
      </c>
      <c r="M850" s="2" t="n">
        <v>0</v>
      </c>
      <c r="N850" s="2" t="n">
        <v>71</v>
      </c>
      <c r="O850" s="2" t="n">
        <v>262</v>
      </c>
      <c r="Q850" s="2" t="n">
        <f aca="false">F850+G850+H850</f>
        <v>356</v>
      </c>
    </row>
    <row r="851" customFormat="false" ht="12.8" hidden="false" customHeight="false" outlineLevel="0" collapsed="false">
      <c r="A851" s="2" t="s">
        <v>258</v>
      </c>
      <c r="B851" s="2" t="s">
        <v>264</v>
      </c>
      <c r="C851" s="2" t="s">
        <v>219</v>
      </c>
      <c r="D851" s="2" t="n">
        <v>282</v>
      </c>
      <c r="E851" s="2" t="n">
        <v>0</v>
      </c>
      <c r="F851" s="2" t="n">
        <v>0</v>
      </c>
      <c r="G851" s="2" t="n">
        <v>109</v>
      </c>
      <c r="H851" s="2" t="n">
        <v>336</v>
      </c>
      <c r="I851" s="2" t="n">
        <v>399</v>
      </c>
      <c r="J851" s="2" t="n">
        <v>22</v>
      </c>
      <c r="K851" s="2" t="n">
        <v>33</v>
      </c>
      <c r="L851" s="2" t="n">
        <v>0</v>
      </c>
      <c r="M851" s="2" t="n">
        <v>0</v>
      </c>
      <c r="N851" s="2" t="n">
        <v>89</v>
      </c>
      <c r="O851" s="2" t="n">
        <v>252</v>
      </c>
      <c r="Q851" s="2" t="n">
        <f aca="false">F851+G851+H851</f>
        <v>445</v>
      </c>
    </row>
    <row r="852" customFormat="false" ht="12.8" hidden="false" customHeight="false" outlineLevel="0" collapsed="false">
      <c r="A852" s="2" t="s">
        <v>258</v>
      </c>
      <c r="B852" s="2" t="s">
        <v>264</v>
      </c>
      <c r="C852" s="2" t="s">
        <v>220</v>
      </c>
      <c r="D852" s="2" t="n">
        <v>236</v>
      </c>
      <c r="E852" s="2" t="n">
        <v>0</v>
      </c>
      <c r="F852" s="2" t="n">
        <v>0</v>
      </c>
      <c r="G852" s="2" t="n">
        <v>91</v>
      </c>
      <c r="H852" s="2" t="n">
        <v>308</v>
      </c>
      <c r="I852" s="2" t="n">
        <v>310</v>
      </c>
      <c r="J852" s="2" t="n">
        <v>60</v>
      </c>
      <c r="K852" s="2" t="n">
        <v>52</v>
      </c>
      <c r="L852" s="2" t="n">
        <v>0</v>
      </c>
      <c r="M852" s="2" t="n">
        <v>0</v>
      </c>
      <c r="N852" s="2" t="n">
        <v>90</v>
      </c>
      <c r="O852" s="2" t="n">
        <v>279</v>
      </c>
      <c r="Q852" s="2" t="n">
        <f aca="false">F852+G852+H852</f>
        <v>399</v>
      </c>
    </row>
    <row r="853" customFormat="false" ht="12.8" hidden="false" customHeight="false" outlineLevel="0" collapsed="false">
      <c r="A853" s="2" t="s">
        <v>258</v>
      </c>
      <c r="B853" s="2" t="s">
        <v>264</v>
      </c>
      <c r="C853" s="2" t="s">
        <v>221</v>
      </c>
      <c r="D853" s="2" t="n">
        <v>226</v>
      </c>
      <c r="E853" s="2" t="n">
        <v>0</v>
      </c>
      <c r="F853" s="2" t="n">
        <v>0</v>
      </c>
      <c r="G853" s="2" t="n">
        <v>87</v>
      </c>
      <c r="H853" s="2" t="n">
        <v>308</v>
      </c>
      <c r="I853" s="2" t="n">
        <v>297</v>
      </c>
      <c r="J853" s="2" t="n">
        <v>70</v>
      </c>
      <c r="K853" s="2" t="n">
        <v>36</v>
      </c>
      <c r="L853" s="2" t="n">
        <v>0</v>
      </c>
      <c r="M853" s="2" t="n">
        <v>0</v>
      </c>
      <c r="N853" s="2" t="n">
        <v>93</v>
      </c>
      <c r="O853" s="2" t="n">
        <v>238</v>
      </c>
      <c r="Q853" s="2" t="n">
        <f aca="false">F853+G853+H853</f>
        <v>395</v>
      </c>
    </row>
    <row r="854" customFormat="false" ht="12.8" hidden="false" customHeight="false" outlineLevel="0" collapsed="false">
      <c r="A854" s="2" t="s">
        <v>258</v>
      </c>
      <c r="B854" s="2" t="s">
        <v>264</v>
      </c>
      <c r="C854" s="2" t="s">
        <v>222</v>
      </c>
      <c r="D854" s="2" t="n">
        <v>234</v>
      </c>
      <c r="E854" s="2" t="n">
        <v>0</v>
      </c>
      <c r="F854" s="2" t="n">
        <v>0</v>
      </c>
      <c r="G854" s="2" t="n">
        <v>95</v>
      </c>
      <c r="H854" s="2" t="n">
        <v>345</v>
      </c>
      <c r="I854" s="2" t="n">
        <v>294</v>
      </c>
      <c r="J854" s="2" t="n">
        <v>129</v>
      </c>
      <c r="K854" s="2" t="n">
        <v>29</v>
      </c>
      <c r="L854" s="2" t="n">
        <v>0</v>
      </c>
      <c r="M854" s="2" t="n">
        <v>0</v>
      </c>
      <c r="N854" s="2" t="n">
        <v>108</v>
      </c>
      <c r="O854" s="2" t="n">
        <v>252</v>
      </c>
      <c r="Q854" s="2" t="n">
        <f aca="false">F854+G854+H854</f>
        <v>440</v>
      </c>
    </row>
    <row r="855" customFormat="false" ht="12.8" hidden="false" customHeight="false" outlineLevel="0" collapsed="false">
      <c r="A855" s="2" t="s">
        <v>258</v>
      </c>
      <c r="B855" s="2" t="s">
        <v>264</v>
      </c>
      <c r="C855" s="2" t="s">
        <v>223</v>
      </c>
      <c r="D855" s="2" t="n">
        <v>396</v>
      </c>
      <c r="E855" s="2" t="n">
        <v>0</v>
      </c>
      <c r="F855" s="2" t="n">
        <v>0</v>
      </c>
      <c r="G855" s="2" t="n">
        <v>215</v>
      </c>
      <c r="H855" s="2" t="n">
        <v>463</v>
      </c>
      <c r="I855" s="2" t="n">
        <v>516</v>
      </c>
      <c r="J855" s="2" t="n">
        <v>115</v>
      </c>
      <c r="K855" s="2" t="n">
        <v>79</v>
      </c>
      <c r="L855" s="2" t="n">
        <v>0</v>
      </c>
      <c r="M855" s="2" t="n">
        <v>0</v>
      </c>
      <c r="N855" s="2" t="n">
        <v>171</v>
      </c>
      <c r="O855" s="2" t="n">
        <v>474</v>
      </c>
      <c r="Q855" s="2" t="n">
        <f aca="false">F855+G855+H855</f>
        <v>678</v>
      </c>
    </row>
    <row r="856" customFormat="false" ht="12.8" hidden="false" customHeight="false" outlineLevel="0" collapsed="false">
      <c r="A856" s="2" t="s">
        <v>258</v>
      </c>
      <c r="B856" s="2" t="s">
        <v>264</v>
      </c>
      <c r="C856" s="2" t="s">
        <v>224</v>
      </c>
      <c r="D856" s="2" t="n">
        <v>222</v>
      </c>
      <c r="E856" s="2" t="n">
        <v>0</v>
      </c>
      <c r="F856" s="2" t="n">
        <v>0</v>
      </c>
      <c r="G856" s="2" t="n">
        <v>117</v>
      </c>
      <c r="H856" s="2" t="n">
        <v>307</v>
      </c>
      <c r="I856" s="2" t="n">
        <v>250</v>
      </c>
      <c r="J856" s="2" t="n">
        <v>112</v>
      </c>
      <c r="K856" s="2" t="n">
        <v>90</v>
      </c>
      <c r="L856" s="2" t="n">
        <v>0</v>
      </c>
      <c r="M856" s="2" t="n">
        <v>0</v>
      </c>
      <c r="N856" s="2" t="n">
        <v>118</v>
      </c>
      <c r="O856" s="2" t="n">
        <v>307</v>
      </c>
      <c r="Q856" s="2" t="n">
        <f aca="false">F856+G856+H856</f>
        <v>424</v>
      </c>
    </row>
    <row r="857" customFormat="false" ht="12.8" hidden="false" customHeight="false" outlineLevel="0" collapsed="false">
      <c r="A857" s="2" t="s">
        <v>259</v>
      </c>
      <c r="B857" s="2" t="s">
        <v>264</v>
      </c>
      <c r="C857" s="2" t="s">
        <v>212</v>
      </c>
      <c r="D857" s="2" t="n">
        <v>2958</v>
      </c>
      <c r="E857" s="2" t="n">
        <v>0</v>
      </c>
      <c r="F857" s="2" t="n">
        <v>1758</v>
      </c>
      <c r="G857" s="2" t="n">
        <v>0</v>
      </c>
      <c r="H857" s="2" t="n">
        <v>2298</v>
      </c>
      <c r="I857" s="2" t="n">
        <v>2889</v>
      </c>
      <c r="J857" s="2" t="n">
        <v>0</v>
      </c>
      <c r="K857" s="2" t="n">
        <v>2059</v>
      </c>
      <c r="L857" s="2" t="n">
        <v>0</v>
      </c>
      <c r="M857" s="2" t="n">
        <v>343</v>
      </c>
      <c r="N857" s="2" t="n">
        <v>635</v>
      </c>
      <c r="O857" s="2" t="n">
        <v>1488</v>
      </c>
      <c r="Q857" s="2" t="n">
        <f aca="false">F857+G857+H857</f>
        <v>4056</v>
      </c>
    </row>
    <row r="858" customFormat="false" ht="12.8" hidden="false" customHeight="false" outlineLevel="0" collapsed="false">
      <c r="A858" s="2" t="s">
        <v>259</v>
      </c>
      <c r="B858" s="2" t="s">
        <v>264</v>
      </c>
      <c r="C858" s="2" t="s">
        <v>217</v>
      </c>
      <c r="D858" s="2" t="n">
        <v>2078</v>
      </c>
      <c r="E858" s="2" t="n">
        <v>0</v>
      </c>
      <c r="F858" s="2" t="n">
        <v>2037</v>
      </c>
      <c r="G858" s="2" t="n">
        <v>368</v>
      </c>
      <c r="H858" s="2" t="n">
        <v>2559</v>
      </c>
      <c r="I858" s="2" t="n">
        <v>3106</v>
      </c>
      <c r="J858" s="2" t="n">
        <v>0</v>
      </c>
      <c r="K858" s="2" t="n">
        <v>2351</v>
      </c>
      <c r="L858" s="2" t="n">
        <v>0</v>
      </c>
      <c r="M858" s="2" t="n">
        <v>457</v>
      </c>
      <c r="N858" s="2" t="n">
        <v>532</v>
      </c>
      <c r="O858" s="2" t="n">
        <v>1407</v>
      </c>
      <c r="Q858" s="2" t="n">
        <f aca="false">F858+G858+H858</f>
        <v>4964</v>
      </c>
    </row>
    <row r="859" customFormat="false" ht="12.8" hidden="false" customHeight="false" outlineLevel="0" collapsed="false">
      <c r="A859" s="2" t="s">
        <v>259</v>
      </c>
      <c r="B859" s="2" t="s">
        <v>264</v>
      </c>
      <c r="C859" s="2" t="s">
        <v>218</v>
      </c>
      <c r="D859" s="2" t="n">
        <v>1846</v>
      </c>
      <c r="E859" s="2" t="n">
        <v>0</v>
      </c>
      <c r="F859" s="2" t="n">
        <v>2009</v>
      </c>
      <c r="G859" s="2" t="n">
        <v>458</v>
      </c>
      <c r="H859" s="2" t="n">
        <v>2671</v>
      </c>
      <c r="I859" s="2" t="n">
        <v>3499</v>
      </c>
      <c r="J859" s="2" t="n">
        <v>0</v>
      </c>
      <c r="K859" s="2" t="n">
        <v>2338</v>
      </c>
      <c r="L859" s="2" t="n">
        <v>0</v>
      </c>
      <c r="M859" s="2" t="n">
        <v>360</v>
      </c>
      <c r="N859" s="2" t="n">
        <v>918</v>
      </c>
      <c r="O859" s="2" t="n">
        <v>1247</v>
      </c>
      <c r="Q859" s="2" t="n">
        <f aca="false">F859+G859+H859</f>
        <v>5138</v>
      </c>
    </row>
    <row r="860" customFormat="false" ht="12.8" hidden="false" customHeight="false" outlineLevel="0" collapsed="false">
      <c r="A860" s="2" t="s">
        <v>259</v>
      </c>
      <c r="B860" s="2" t="s">
        <v>264</v>
      </c>
      <c r="C860" s="2" t="s">
        <v>219</v>
      </c>
      <c r="D860" s="2" t="n">
        <v>1402</v>
      </c>
      <c r="E860" s="2" t="n">
        <v>0</v>
      </c>
      <c r="F860" s="2" t="n">
        <v>2042</v>
      </c>
      <c r="G860" s="2" t="n">
        <v>391</v>
      </c>
      <c r="H860" s="2" t="n">
        <v>2471</v>
      </c>
      <c r="I860" s="2" t="n">
        <v>3196</v>
      </c>
      <c r="J860" s="2" t="n">
        <v>0</v>
      </c>
      <c r="K860" s="2" t="n">
        <v>2316</v>
      </c>
      <c r="L860" s="2" t="n">
        <v>0</v>
      </c>
      <c r="M860" s="2" t="n">
        <v>337</v>
      </c>
      <c r="N860" s="2" t="n">
        <v>940</v>
      </c>
      <c r="O860" s="2" t="n">
        <v>1540</v>
      </c>
      <c r="Q860" s="2" t="n">
        <f aca="false">F860+G860+H860</f>
        <v>4904</v>
      </c>
    </row>
    <row r="861" customFormat="false" ht="12.8" hidden="false" customHeight="false" outlineLevel="0" collapsed="false">
      <c r="A861" s="2" t="s">
        <v>259</v>
      </c>
      <c r="B861" s="2" t="s">
        <v>264</v>
      </c>
      <c r="C861" s="2" t="s">
        <v>220</v>
      </c>
      <c r="D861" s="2" t="n">
        <v>1214</v>
      </c>
      <c r="E861" s="2" t="n">
        <v>0</v>
      </c>
      <c r="F861" s="2" t="n">
        <v>1941</v>
      </c>
      <c r="G861" s="2" t="n">
        <v>370</v>
      </c>
      <c r="H861" s="2" t="n">
        <v>2446</v>
      </c>
      <c r="I861" s="2" t="n">
        <v>2981</v>
      </c>
      <c r="J861" s="2" t="n">
        <v>0</v>
      </c>
      <c r="K861" s="2" t="n">
        <v>2440</v>
      </c>
      <c r="L861" s="2" t="n">
        <v>0</v>
      </c>
      <c r="M861" s="2" t="n">
        <v>274</v>
      </c>
      <c r="N861" s="2" t="n">
        <v>836</v>
      </c>
      <c r="O861" s="2" t="n">
        <v>1551</v>
      </c>
      <c r="Q861" s="2" t="n">
        <f aca="false">F861+G861+H861</f>
        <v>4757</v>
      </c>
    </row>
    <row r="862" customFormat="false" ht="12.8" hidden="false" customHeight="false" outlineLevel="0" collapsed="false">
      <c r="A862" s="2" t="s">
        <v>259</v>
      </c>
      <c r="B862" s="2" t="s">
        <v>264</v>
      </c>
      <c r="C862" s="2" t="s">
        <v>221</v>
      </c>
      <c r="D862" s="2" t="n">
        <v>1106</v>
      </c>
      <c r="E862" s="2" t="n">
        <v>0</v>
      </c>
      <c r="F862" s="2" t="n">
        <v>2005</v>
      </c>
      <c r="G862" s="2" t="n">
        <v>343</v>
      </c>
      <c r="H862" s="2" t="n">
        <v>2279</v>
      </c>
      <c r="I862" s="2" t="n">
        <v>2917</v>
      </c>
      <c r="J862" s="2" t="n">
        <v>0</v>
      </c>
      <c r="K862" s="2" t="n">
        <v>2307</v>
      </c>
      <c r="L862" s="2" t="n">
        <v>0</v>
      </c>
      <c r="M862" s="2" t="n">
        <v>314</v>
      </c>
      <c r="N862" s="2" t="n">
        <v>761</v>
      </c>
      <c r="O862" s="2" t="n">
        <v>1469</v>
      </c>
      <c r="Q862" s="2" t="n">
        <f aca="false">F862+G862+H862</f>
        <v>4627</v>
      </c>
    </row>
    <row r="863" customFormat="false" ht="12.8" hidden="false" customHeight="false" outlineLevel="0" collapsed="false">
      <c r="A863" s="2" t="s">
        <v>259</v>
      </c>
      <c r="B863" s="2" t="s">
        <v>264</v>
      </c>
      <c r="C863" s="2" t="s">
        <v>222</v>
      </c>
      <c r="D863" s="2" t="n">
        <v>1210</v>
      </c>
      <c r="E863" s="2" t="n">
        <v>0</v>
      </c>
      <c r="F863" s="2" t="n">
        <v>2006</v>
      </c>
      <c r="G863" s="2" t="n">
        <v>492</v>
      </c>
      <c r="H863" s="2" t="n">
        <v>2464</v>
      </c>
      <c r="I863" s="2" t="n">
        <v>3324</v>
      </c>
      <c r="J863" s="2" t="n">
        <v>0</v>
      </c>
      <c r="K863" s="2" t="n">
        <v>2321</v>
      </c>
      <c r="L863" s="2" t="n">
        <v>0</v>
      </c>
      <c r="M863" s="2" t="n">
        <v>421</v>
      </c>
      <c r="N863" s="2" t="n">
        <v>801</v>
      </c>
      <c r="O863" s="2" t="n">
        <v>1678</v>
      </c>
      <c r="Q863" s="2" t="n">
        <f aca="false">F863+G863+H863</f>
        <v>4962</v>
      </c>
    </row>
    <row r="864" customFormat="false" ht="12.8" hidden="false" customHeight="false" outlineLevel="0" collapsed="false">
      <c r="A864" s="2" t="s">
        <v>259</v>
      </c>
      <c r="B864" s="2" t="s">
        <v>264</v>
      </c>
      <c r="C864" s="2" t="s">
        <v>223</v>
      </c>
      <c r="D864" s="2" t="n">
        <v>1063</v>
      </c>
      <c r="E864" s="2" t="n">
        <v>0</v>
      </c>
      <c r="F864" s="2" t="n">
        <v>2020</v>
      </c>
      <c r="G864" s="2" t="n">
        <v>496</v>
      </c>
      <c r="H864" s="2" t="n">
        <v>2288</v>
      </c>
      <c r="I864" s="2" t="n">
        <v>3356</v>
      </c>
      <c r="J864" s="2" t="n">
        <v>0</v>
      </c>
      <c r="K864" s="2" t="n">
        <v>2618</v>
      </c>
      <c r="L864" s="2" t="n">
        <v>0</v>
      </c>
      <c r="M864" s="2" t="n">
        <v>250</v>
      </c>
      <c r="N864" s="2" t="n">
        <v>1200</v>
      </c>
      <c r="O864" s="2" t="n">
        <v>1353</v>
      </c>
      <c r="Q864" s="2" t="n">
        <f aca="false">F864+G864+H864</f>
        <v>4804</v>
      </c>
    </row>
    <row r="865" customFormat="false" ht="12.8" hidden="false" customHeight="false" outlineLevel="0" collapsed="false">
      <c r="A865" s="2" t="s">
        <v>259</v>
      </c>
      <c r="B865" s="2" t="s">
        <v>264</v>
      </c>
      <c r="C865" s="2" t="s">
        <v>224</v>
      </c>
      <c r="D865" s="2" t="n">
        <v>1223</v>
      </c>
      <c r="E865" s="2" t="n">
        <v>0</v>
      </c>
      <c r="F865" s="2" t="n">
        <v>1951</v>
      </c>
      <c r="G865" s="2" t="n">
        <v>468</v>
      </c>
      <c r="H865" s="2" t="n">
        <v>2615</v>
      </c>
      <c r="I865" s="2" t="n">
        <v>3646</v>
      </c>
      <c r="J865" s="2" t="n">
        <v>0</v>
      </c>
      <c r="K865" s="2" t="n">
        <v>3021</v>
      </c>
      <c r="L865" s="2" t="n">
        <v>0</v>
      </c>
      <c r="M865" s="2" t="n">
        <v>204</v>
      </c>
      <c r="N865" s="2" t="n">
        <v>1629</v>
      </c>
      <c r="O865" s="2" t="n">
        <v>1647</v>
      </c>
      <c r="Q865" s="2" t="n">
        <f aca="false">F865+G865+H865</f>
        <v>5034</v>
      </c>
    </row>
    <row r="866" customFormat="false" ht="12.8" hidden="false" customHeight="false" outlineLevel="0" collapsed="false">
      <c r="A866" s="2" t="s">
        <v>260</v>
      </c>
      <c r="B866" s="2" t="s">
        <v>264</v>
      </c>
      <c r="C866" s="2" t="s">
        <v>212</v>
      </c>
      <c r="D866" s="2" t="n">
        <v>1888</v>
      </c>
      <c r="E866" s="2" t="n">
        <v>0</v>
      </c>
      <c r="F866" s="2" t="n">
        <v>724</v>
      </c>
      <c r="G866" s="2" t="n">
        <v>372</v>
      </c>
      <c r="H866" s="2" t="n">
        <v>1445</v>
      </c>
      <c r="I866" s="2" t="n">
        <v>1552</v>
      </c>
      <c r="J866" s="2" t="n">
        <v>516</v>
      </c>
      <c r="K866" s="2" t="n">
        <v>1159</v>
      </c>
      <c r="L866" s="2" t="n">
        <v>0</v>
      </c>
      <c r="M866" s="2" t="n">
        <v>178</v>
      </c>
      <c r="N866" s="2" t="n">
        <v>745</v>
      </c>
      <c r="O866" s="2" t="n">
        <v>926</v>
      </c>
      <c r="Q866" s="2" t="n">
        <f aca="false">F866+G866+H866</f>
        <v>2541</v>
      </c>
    </row>
    <row r="867" customFormat="false" ht="12.8" hidden="false" customHeight="false" outlineLevel="0" collapsed="false">
      <c r="A867" s="2" t="s">
        <v>260</v>
      </c>
      <c r="B867" s="2" t="s">
        <v>264</v>
      </c>
      <c r="C867" s="2" t="s">
        <v>217</v>
      </c>
      <c r="D867" s="2" t="n">
        <v>1335</v>
      </c>
      <c r="E867" s="2" t="n">
        <v>0</v>
      </c>
      <c r="F867" s="2" t="n">
        <v>675</v>
      </c>
      <c r="G867" s="2" t="n">
        <v>382</v>
      </c>
      <c r="H867" s="2" t="n">
        <v>1650</v>
      </c>
      <c r="I867" s="2" t="n">
        <v>1826</v>
      </c>
      <c r="J867" s="2" t="n">
        <v>353</v>
      </c>
      <c r="K867" s="2" t="n">
        <v>1251</v>
      </c>
      <c r="L867" s="2" t="n">
        <v>0</v>
      </c>
      <c r="M867" s="2" t="n">
        <v>281</v>
      </c>
      <c r="N867" s="2" t="n">
        <v>737</v>
      </c>
      <c r="O867" s="2" t="n">
        <v>935</v>
      </c>
      <c r="Q867" s="2" t="n">
        <f aca="false">F867+G867+H867</f>
        <v>2707</v>
      </c>
    </row>
    <row r="868" customFormat="false" ht="12.8" hidden="false" customHeight="false" outlineLevel="0" collapsed="false">
      <c r="A868" s="2" t="s">
        <v>260</v>
      </c>
      <c r="B868" s="2" t="s">
        <v>264</v>
      </c>
      <c r="C868" s="2" t="s">
        <v>218</v>
      </c>
      <c r="D868" s="2" t="n">
        <v>1115</v>
      </c>
      <c r="E868" s="2" t="n">
        <v>0</v>
      </c>
      <c r="F868" s="2" t="n">
        <v>717</v>
      </c>
      <c r="G868" s="2" t="n">
        <v>414</v>
      </c>
      <c r="H868" s="2" t="n">
        <v>1684</v>
      </c>
      <c r="I868" s="2" t="n">
        <v>1921</v>
      </c>
      <c r="J868" s="2" t="n">
        <v>364</v>
      </c>
      <c r="K868" s="2" t="n">
        <v>1221</v>
      </c>
      <c r="L868" s="2" t="n">
        <v>0</v>
      </c>
      <c r="M868" s="2" t="n">
        <v>272</v>
      </c>
      <c r="N868" s="2" t="n">
        <v>778</v>
      </c>
      <c r="O868" s="2" t="n">
        <v>846</v>
      </c>
      <c r="Q868" s="2" t="n">
        <f aca="false">F868+G868+H868</f>
        <v>2815</v>
      </c>
    </row>
    <row r="869" customFormat="false" ht="12.8" hidden="false" customHeight="false" outlineLevel="0" collapsed="false">
      <c r="A869" s="2" t="s">
        <v>260</v>
      </c>
      <c r="B869" s="2" t="s">
        <v>264</v>
      </c>
      <c r="C869" s="2" t="s">
        <v>219</v>
      </c>
      <c r="D869" s="2" t="n">
        <v>876</v>
      </c>
      <c r="E869" s="2" t="n">
        <v>0</v>
      </c>
      <c r="F869" s="2" t="n">
        <v>698</v>
      </c>
      <c r="G869" s="2" t="n">
        <v>363</v>
      </c>
      <c r="H869" s="2" t="n">
        <v>1489</v>
      </c>
      <c r="I869" s="2" t="n">
        <v>1631</v>
      </c>
      <c r="J869" s="2" t="n">
        <v>402</v>
      </c>
      <c r="K869" s="2" t="n">
        <v>1180</v>
      </c>
      <c r="L869" s="2" t="n">
        <v>0</v>
      </c>
      <c r="M869" s="2" t="n">
        <v>246</v>
      </c>
      <c r="N869" s="2" t="n">
        <v>757</v>
      </c>
      <c r="O869" s="2" t="n">
        <v>848</v>
      </c>
      <c r="Q869" s="2" t="n">
        <f aca="false">F869+G869+H869</f>
        <v>2550</v>
      </c>
    </row>
    <row r="870" customFormat="false" ht="12.8" hidden="false" customHeight="false" outlineLevel="0" collapsed="false">
      <c r="A870" s="2" t="s">
        <v>260</v>
      </c>
      <c r="B870" s="2" t="s">
        <v>264</v>
      </c>
      <c r="C870" s="2" t="s">
        <v>220</v>
      </c>
      <c r="D870" s="2" t="n">
        <v>678</v>
      </c>
      <c r="E870" s="2" t="n">
        <v>0</v>
      </c>
      <c r="F870" s="2" t="n">
        <v>717</v>
      </c>
      <c r="G870" s="2" t="n">
        <v>360</v>
      </c>
      <c r="H870" s="2" t="n">
        <v>1372</v>
      </c>
      <c r="I870" s="2" t="n">
        <v>1558</v>
      </c>
      <c r="J870" s="2" t="n">
        <v>355</v>
      </c>
      <c r="K870" s="2" t="n">
        <v>1099</v>
      </c>
      <c r="L870" s="2" t="n">
        <v>0</v>
      </c>
      <c r="M870" s="2" t="n">
        <v>138</v>
      </c>
      <c r="N870" s="2" t="n">
        <v>756</v>
      </c>
      <c r="O870" s="2" t="n">
        <v>835</v>
      </c>
      <c r="Q870" s="2" t="n">
        <f aca="false">F870+G870+H870</f>
        <v>2449</v>
      </c>
    </row>
    <row r="871" customFormat="false" ht="12.8" hidden="false" customHeight="false" outlineLevel="0" collapsed="false">
      <c r="A871" s="2" t="s">
        <v>260</v>
      </c>
      <c r="B871" s="2" t="s">
        <v>264</v>
      </c>
      <c r="C871" s="2" t="s">
        <v>221</v>
      </c>
      <c r="D871" s="2" t="n">
        <v>654</v>
      </c>
      <c r="E871" s="2" t="n">
        <v>0</v>
      </c>
      <c r="F871" s="2" t="n">
        <v>704</v>
      </c>
      <c r="G871" s="2" t="n">
        <v>408</v>
      </c>
      <c r="H871" s="2" t="n">
        <v>1448</v>
      </c>
      <c r="I871" s="2" t="n">
        <v>1573</v>
      </c>
      <c r="J871" s="2" t="n">
        <v>374</v>
      </c>
      <c r="K871" s="2" t="n">
        <v>1214</v>
      </c>
      <c r="L871" s="2" t="n">
        <v>0</v>
      </c>
      <c r="M871" s="2" t="n">
        <v>173</v>
      </c>
      <c r="N871" s="2" t="n">
        <v>845</v>
      </c>
      <c r="O871" s="2" t="n">
        <v>852</v>
      </c>
      <c r="Q871" s="2" t="n">
        <f aca="false">F871+G871+H871</f>
        <v>2560</v>
      </c>
    </row>
    <row r="872" customFormat="false" ht="12.8" hidden="false" customHeight="false" outlineLevel="0" collapsed="false">
      <c r="A872" s="2" t="s">
        <v>260</v>
      </c>
      <c r="B872" s="2" t="s">
        <v>264</v>
      </c>
      <c r="C872" s="2" t="s">
        <v>222</v>
      </c>
      <c r="D872" s="2" t="n">
        <v>844</v>
      </c>
      <c r="E872" s="2" t="n">
        <v>0</v>
      </c>
      <c r="F872" s="2" t="n">
        <v>715</v>
      </c>
      <c r="G872" s="2" t="n">
        <v>563</v>
      </c>
      <c r="H872" s="2" t="n">
        <v>1609</v>
      </c>
      <c r="I872" s="2" t="n">
        <v>1809</v>
      </c>
      <c r="J872" s="2" t="n">
        <v>407</v>
      </c>
      <c r="K872" s="2" t="n">
        <v>1359</v>
      </c>
      <c r="L872" s="2" t="n">
        <v>0</v>
      </c>
      <c r="M872" s="2" t="n">
        <v>206</v>
      </c>
      <c r="N872" s="2" t="n">
        <v>944</v>
      </c>
      <c r="O872" s="2" t="n">
        <v>1222</v>
      </c>
      <c r="Q872" s="2" t="n">
        <f aca="false">F872+G872+H872</f>
        <v>2887</v>
      </c>
    </row>
    <row r="873" customFormat="false" ht="12.8" hidden="false" customHeight="false" outlineLevel="0" collapsed="false">
      <c r="A873" s="2" t="s">
        <v>260</v>
      </c>
      <c r="B873" s="2" t="s">
        <v>264</v>
      </c>
      <c r="C873" s="2" t="s">
        <v>223</v>
      </c>
      <c r="D873" s="2" t="n">
        <v>884</v>
      </c>
      <c r="E873" s="2" t="n">
        <v>0</v>
      </c>
      <c r="F873" s="2" t="n">
        <v>725</v>
      </c>
      <c r="G873" s="2" t="n">
        <v>530</v>
      </c>
      <c r="H873" s="2" t="n">
        <v>1718</v>
      </c>
      <c r="I873" s="2" t="n">
        <v>1717</v>
      </c>
      <c r="J873" s="2" t="n">
        <v>439</v>
      </c>
      <c r="K873" s="2" t="n">
        <v>2073</v>
      </c>
      <c r="L873" s="2" t="n">
        <v>0</v>
      </c>
      <c r="M873" s="2" t="n">
        <v>208</v>
      </c>
      <c r="N873" s="2" t="n">
        <v>1821</v>
      </c>
      <c r="O873" s="2" t="n">
        <v>1245</v>
      </c>
      <c r="Q873" s="2" t="n">
        <f aca="false">F873+G873+H873</f>
        <v>2973</v>
      </c>
    </row>
    <row r="874" customFormat="false" ht="12.8" hidden="false" customHeight="false" outlineLevel="0" collapsed="false">
      <c r="A874" s="2" t="s">
        <v>260</v>
      </c>
      <c r="B874" s="2" t="s">
        <v>264</v>
      </c>
      <c r="C874" s="2" t="s">
        <v>224</v>
      </c>
      <c r="D874" s="2" t="n">
        <v>737</v>
      </c>
      <c r="E874" s="2" t="n">
        <v>0</v>
      </c>
      <c r="F874" s="2" t="n">
        <v>752</v>
      </c>
      <c r="G874" s="2" t="n">
        <v>508</v>
      </c>
      <c r="H874" s="2" t="n">
        <v>1577</v>
      </c>
      <c r="I874" s="2" t="n">
        <v>1596</v>
      </c>
      <c r="J874" s="2" t="n">
        <v>456</v>
      </c>
      <c r="K874" s="2" t="n">
        <v>1962</v>
      </c>
      <c r="L874" s="2" t="n">
        <v>0</v>
      </c>
      <c r="M874" s="2" t="n">
        <v>195</v>
      </c>
      <c r="N874" s="2" t="n">
        <v>1530</v>
      </c>
      <c r="O874" s="2" t="n">
        <v>1277</v>
      </c>
      <c r="Q874" s="2" t="n">
        <f aca="false">F874+G874+H874</f>
        <v>2837</v>
      </c>
    </row>
    <row r="875" customFormat="false" ht="12.8" hidden="false" customHeight="false" outlineLevel="0" collapsed="false">
      <c r="A875" s="2" t="s">
        <v>261</v>
      </c>
      <c r="B875" s="2" t="s">
        <v>264</v>
      </c>
      <c r="C875" s="2" t="s">
        <v>212</v>
      </c>
      <c r="D875" s="2" t="n">
        <v>1117</v>
      </c>
      <c r="E875" s="2" t="n">
        <v>0</v>
      </c>
      <c r="F875" s="2" t="n">
        <v>1125</v>
      </c>
      <c r="G875" s="2" t="n">
        <v>113</v>
      </c>
      <c r="H875" s="2" t="n">
        <v>359</v>
      </c>
      <c r="I875" s="2" t="n">
        <v>1001</v>
      </c>
      <c r="J875" s="2" t="n">
        <v>0</v>
      </c>
      <c r="K875" s="2" t="n">
        <v>775</v>
      </c>
      <c r="L875" s="2" t="n">
        <v>0</v>
      </c>
      <c r="M875" s="2" t="n">
        <v>83</v>
      </c>
      <c r="N875" s="2" t="n">
        <v>501</v>
      </c>
      <c r="O875" s="2" t="n">
        <v>630</v>
      </c>
      <c r="Q875" s="2" t="n">
        <f aca="false">F875+G875+H875</f>
        <v>1597</v>
      </c>
    </row>
    <row r="876" customFormat="false" ht="12.8" hidden="false" customHeight="false" outlineLevel="0" collapsed="false">
      <c r="A876" s="2" t="s">
        <v>261</v>
      </c>
      <c r="B876" s="2" t="s">
        <v>264</v>
      </c>
      <c r="C876" s="2" t="s">
        <v>217</v>
      </c>
      <c r="D876" s="2" t="n">
        <v>791</v>
      </c>
      <c r="E876" s="2" t="n">
        <v>0</v>
      </c>
      <c r="F876" s="2" t="n">
        <v>1372</v>
      </c>
      <c r="G876" s="2" t="n">
        <v>160</v>
      </c>
      <c r="H876" s="2" t="n">
        <v>460</v>
      </c>
      <c r="I876" s="2" t="n">
        <v>1274</v>
      </c>
      <c r="J876" s="2" t="n">
        <v>0</v>
      </c>
      <c r="K876" s="2" t="n">
        <v>876</v>
      </c>
      <c r="L876" s="2" t="n">
        <v>0</v>
      </c>
      <c r="M876" s="2" t="n">
        <v>102</v>
      </c>
      <c r="N876" s="2" t="n">
        <v>673</v>
      </c>
      <c r="O876" s="2" t="n">
        <v>606</v>
      </c>
      <c r="Q876" s="2" t="n">
        <f aca="false">F876+G876+H876</f>
        <v>1992</v>
      </c>
    </row>
    <row r="877" customFormat="false" ht="12.8" hidden="false" customHeight="false" outlineLevel="0" collapsed="false">
      <c r="A877" s="2" t="s">
        <v>261</v>
      </c>
      <c r="B877" s="2" t="s">
        <v>264</v>
      </c>
      <c r="C877" s="2" t="s">
        <v>218</v>
      </c>
      <c r="D877" s="2" t="n">
        <v>642</v>
      </c>
      <c r="E877" s="2" t="n">
        <v>0</v>
      </c>
      <c r="F877" s="2" t="n">
        <v>1363</v>
      </c>
      <c r="G877" s="2" t="n">
        <v>208</v>
      </c>
      <c r="H877" s="2" t="n">
        <v>546</v>
      </c>
      <c r="I877" s="2" t="n">
        <v>1235</v>
      </c>
      <c r="J877" s="2" t="n">
        <v>0</v>
      </c>
      <c r="K877" s="2" t="n">
        <v>1135</v>
      </c>
      <c r="L877" s="2" t="n">
        <v>0</v>
      </c>
      <c r="M877" s="2" t="n">
        <v>145</v>
      </c>
      <c r="N877" s="2" t="n">
        <v>781</v>
      </c>
      <c r="O877" s="2" t="n">
        <v>800</v>
      </c>
      <c r="Q877" s="2" t="n">
        <f aca="false">F877+G877+H877</f>
        <v>2117</v>
      </c>
    </row>
    <row r="878" customFormat="false" ht="12.8" hidden="false" customHeight="false" outlineLevel="0" collapsed="false">
      <c r="A878" s="2" t="s">
        <v>261</v>
      </c>
      <c r="B878" s="2" t="s">
        <v>264</v>
      </c>
      <c r="C878" s="2" t="s">
        <v>219</v>
      </c>
      <c r="D878" s="2" t="n">
        <v>550</v>
      </c>
      <c r="E878" s="2" t="n">
        <v>0</v>
      </c>
      <c r="F878" s="2" t="n">
        <v>1405</v>
      </c>
      <c r="G878" s="2" t="n">
        <v>238</v>
      </c>
      <c r="H878" s="2" t="n">
        <v>558</v>
      </c>
      <c r="I878" s="2" t="n">
        <v>1335</v>
      </c>
      <c r="J878" s="2" t="n">
        <v>0</v>
      </c>
      <c r="K878" s="2" t="n">
        <v>1120</v>
      </c>
      <c r="L878" s="2" t="n">
        <v>0</v>
      </c>
      <c r="M878" s="2" t="n">
        <v>147</v>
      </c>
      <c r="N878" s="2" t="n">
        <v>824</v>
      </c>
      <c r="O878" s="2" t="n">
        <v>946</v>
      </c>
      <c r="Q878" s="2" t="n">
        <f aca="false">F878+G878+H878</f>
        <v>2201</v>
      </c>
    </row>
    <row r="879" customFormat="false" ht="12.8" hidden="false" customHeight="false" outlineLevel="0" collapsed="false">
      <c r="A879" s="2" t="s">
        <v>261</v>
      </c>
      <c r="B879" s="2" t="s">
        <v>264</v>
      </c>
      <c r="C879" s="2" t="s">
        <v>220</v>
      </c>
      <c r="D879" s="2" t="n">
        <v>559</v>
      </c>
      <c r="E879" s="2" t="n">
        <v>0</v>
      </c>
      <c r="F879" s="2" t="n">
        <v>1352</v>
      </c>
      <c r="G879" s="2" t="n">
        <v>283</v>
      </c>
      <c r="H879" s="2" t="n">
        <v>619</v>
      </c>
      <c r="I879" s="2" t="n">
        <v>1319</v>
      </c>
      <c r="J879" s="2" t="n">
        <v>0</v>
      </c>
      <c r="K879" s="2" t="n">
        <v>1213</v>
      </c>
      <c r="L879" s="2" t="n">
        <v>0</v>
      </c>
      <c r="M879" s="2" t="n">
        <v>145</v>
      </c>
      <c r="N879" s="2" t="n">
        <v>787</v>
      </c>
      <c r="O879" s="2" t="n">
        <v>999</v>
      </c>
      <c r="Q879" s="2" t="n">
        <f aca="false">F879+G879+H879</f>
        <v>2254</v>
      </c>
    </row>
    <row r="880" customFormat="false" ht="12.8" hidden="false" customHeight="false" outlineLevel="0" collapsed="false">
      <c r="A880" s="2" t="s">
        <v>261</v>
      </c>
      <c r="B880" s="2" t="s">
        <v>264</v>
      </c>
      <c r="C880" s="2" t="s">
        <v>221</v>
      </c>
      <c r="D880" s="2" t="n">
        <v>465</v>
      </c>
      <c r="E880" s="2" t="n">
        <v>0</v>
      </c>
      <c r="F880" s="2" t="n">
        <v>1320</v>
      </c>
      <c r="G880" s="2" t="n">
        <v>250</v>
      </c>
      <c r="H880" s="2" t="n">
        <v>524</v>
      </c>
      <c r="I880" s="2" t="n">
        <v>1339</v>
      </c>
      <c r="J880" s="2" t="n">
        <v>0</v>
      </c>
      <c r="K880" s="2" t="n">
        <v>954</v>
      </c>
      <c r="L880" s="2" t="n">
        <v>0</v>
      </c>
      <c r="M880" s="2" t="n">
        <v>175</v>
      </c>
      <c r="N880" s="2" t="n">
        <v>709</v>
      </c>
      <c r="O880" s="2" t="n">
        <v>818</v>
      </c>
      <c r="Q880" s="2" t="n">
        <f aca="false">F880+G880+H880</f>
        <v>2094</v>
      </c>
    </row>
    <row r="881" customFormat="false" ht="12.8" hidden="false" customHeight="false" outlineLevel="0" collapsed="false">
      <c r="A881" s="2" t="s">
        <v>261</v>
      </c>
      <c r="B881" s="2" t="s">
        <v>264</v>
      </c>
      <c r="C881" s="2" t="s">
        <v>222</v>
      </c>
      <c r="D881" s="2" t="n">
        <v>464</v>
      </c>
      <c r="E881" s="2" t="n">
        <v>0</v>
      </c>
      <c r="F881" s="2" t="n">
        <v>1357</v>
      </c>
      <c r="G881" s="2" t="n">
        <v>215</v>
      </c>
      <c r="H881" s="2" t="n">
        <v>630</v>
      </c>
      <c r="I881" s="2" t="n">
        <v>1456</v>
      </c>
      <c r="J881" s="2" t="n">
        <v>0</v>
      </c>
      <c r="K881" s="2" t="n">
        <v>997</v>
      </c>
      <c r="L881" s="2" t="n">
        <v>0</v>
      </c>
      <c r="M881" s="2" t="n">
        <v>126</v>
      </c>
      <c r="N881" s="2" t="n">
        <v>834</v>
      </c>
      <c r="O881" s="2" t="n">
        <v>861</v>
      </c>
      <c r="Q881" s="2" t="n">
        <f aca="false">F881+G881+H881</f>
        <v>2202</v>
      </c>
    </row>
    <row r="882" customFormat="false" ht="12.8" hidden="false" customHeight="false" outlineLevel="0" collapsed="false">
      <c r="A882" s="2" t="s">
        <v>261</v>
      </c>
      <c r="B882" s="2" t="s">
        <v>264</v>
      </c>
      <c r="C882" s="2" t="s">
        <v>223</v>
      </c>
      <c r="D882" s="2" t="n">
        <v>441</v>
      </c>
      <c r="E882" s="2" t="n">
        <v>0</v>
      </c>
      <c r="F882" s="2" t="n">
        <v>1333</v>
      </c>
      <c r="G882" s="2" t="n">
        <v>252</v>
      </c>
      <c r="H882" s="2" t="n">
        <v>601</v>
      </c>
      <c r="I882" s="2" t="n">
        <v>1346</v>
      </c>
      <c r="J882" s="2" t="n">
        <v>0</v>
      </c>
      <c r="K882" s="2" t="n">
        <v>1320</v>
      </c>
      <c r="L882" s="2" t="n">
        <v>0</v>
      </c>
      <c r="M882" s="2" t="n">
        <v>59</v>
      </c>
      <c r="N882" s="2" t="n">
        <v>898</v>
      </c>
      <c r="O882" s="2" t="n">
        <v>810</v>
      </c>
      <c r="Q882" s="2" t="n">
        <f aca="false">F882+G882+H882</f>
        <v>2186</v>
      </c>
    </row>
    <row r="883" customFormat="false" ht="12.8" hidden="false" customHeight="false" outlineLevel="0" collapsed="false">
      <c r="A883" s="2" t="s">
        <v>261</v>
      </c>
      <c r="B883" s="2" t="s">
        <v>264</v>
      </c>
      <c r="C883" s="2" t="s">
        <v>224</v>
      </c>
      <c r="D883" s="2" t="n">
        <v>489</v>
      </c>
      <c r="E883" s="2" t="n">
        <v>0</v>
      </c>
      <c r="F883" s="2" t="n">
        <v>1439</v>
      </c>
      <c r="G883" s="2" t="n">
        <v>286</v>
      </c>
      <c r="H883" s="2" t="n">
        <v>714</v>
      </c>
      <c r="I883" s="2" t="n">
        <v>1605</v>
      </c>
      <c r="J883" s="2" t="n">
        <v>0</v>
      </c>
      <c r="K883" s="2" t="n">
        <v>1382</v>
      </c>
      <c r="L883" s="2" t="n">
        <v>0</v>
      </c>
      <c r="M883" s="2" t="n">
        <v>158</v>
      </c>
      <c r="N883" s="2" t="n">
        <v>1281</v>
      </c>
      <c r="O883" s="2" t="n">
        <v>1078</v>
      </c>
      <c r="Q883" s="2" t="n">
        <f aca="false">F883+G883+H883</f>
        <v>2439</v>
      </c>
    </row>
    <row r="884" customFormat="false" ht="12.8" hidden="false" customHeight="false" outlineLevel="0" collapsed="false">
      <c r="A884" s="2" t="s">
        <v>262</v>
      </c>
      <c r="B884" s="2" t="s">
        <v>264</v>
      </c>
      <c r="C884" s="2" t="s">
        <v>212</v>
      </c>
      <c r="D884" s="2" t="n">
        <v>927</v>
      </c>
      <c r="E884" s="2" t="n">
        <v>0</v>
      </c>
      <c r="F884" s="2" t="n">
        <v>338</v>
      </c>
      <c r="G884" s="2" t="n">
        <v>259</v>
      </c>
      <c r="H884" s="2" t="n">
        <v>837</v>
      </c>
      <c r="I884" s="2" t="n">
        <v>708</v>
      </c>
      <c r="J884" s="2" t="n">
        <v>188</v>
      </c>
      <c r="K884" s="2" t="n">
        <v>833</v>
      </c>
      <c r="L884" s="2" t="n">
        <v>0</v>
      </c>
      <c r="M884" s="2" t="n">
        <v>163</v>
      </c>
      <c r="N884" s="2" t="n">
        <v>527</v>
      </c>
      <c r="O884" s="2" t="n">
        <v>453</v>
      </c>
      <c r="Q884" s="2" t="n">
        <f aca="false">F884+G884+H884</f>
        <v>1434</v>
      </c>
    </row>
    <row r="885" customFormat="false" ht="12.8" hidden="false" customHeight="false" outlineLevel="0" collapsed="false">
      <c r="A885" s="2" t="s">
        <v>262</v>
      </c>
      <c r="B885" s="2" t="s">
        <v>264</v>
      </c>
      <c r="C885" s="2" t="s">
        <v>217</v>
      </c>
      <c r="D885" s="2" t="n">
        <v>576</v>
      </c>
      <c r="E885" s="2" t="n">
        <v>0</v>
      </c>
      <c r="F885" s="2" t="n">
        <v>413</v>
      </c>
      <c r="G885" s="2" t="n">
        <v>227</v>
      </c>
      <c r="H885" s="2" t="n">
        <v>804</v>
      </c>
      <c r="I885" s="2" t="n">
        <v>690</v>
      </c>
      <c r="J885" s="2" t="n">
        <v>150</v>
      </c>
      <c r="K885" s="2" t="n">
        <v>843</v>
      </c>
      <c r="L885" s="2" t="n">
        <v>0</v>
      </c>
      <c r="M885" s="2" t="n">
        <v>174</v>
      </c>
      <c r="N885" s="2" t="n">
        <v>525</v>
      </c>
      <c r="O885" s="2" t="n">
        <v>364</v>
      </c>
      <c r="Q885" s="2" t="n">
        <f aca="false">F885+G885+H885</f>
        <v>1444</v>
      </c>
    </row>
    <row r="886" customFormat="false" ht="12.8" hidden="false" customHeight="false" outlineLevel="0" collapsed="false">
      <c r="A886" s="2" t="s">
        <v>262</v>
      </c>
      <c r="B886" s="2" t="s">
        <v>264</v>
      </c>
      <c r="C886" s="2" t="s">
        <v>218</v>
      </c>
      <c r="D886" s="2" t="n">
        <v>602</v>
      </c>
      <c r="E886" s="2" t="n">
        <v>0</v>
      </c>
      <c r="F886" s="2" t="n">
        <v>441</v>
      </c>
      <c r="G886" s="2" t="n">
        <v>282</v>
      </c>
      <c r="H886" s="2" t="n">
        <v>957</v>
      </c>
      <c r="I886" s="2" t="n">
        <v>906</v>
      </c>
      <c r="J886" s="2" t="n">
        <v>167</v>
      </c>
      <c r="K886" s="2" t="n">
        <v>937</v>
      </c>
      <c r="L886" s="2" t="n">
        <v>0</v>
      </c>
      <c r="M886" s="2" t="n">
        <v>175</v>
      </c>
      <c r="N886" s="2" t="n">
        <v>540</v>
      </c>
      <c r="O886" s="2" t="n">
        <v>331</v>
      </c>
      <c r="Q886" s="2" t="n">
        <f aca="false">F886+G886+H886</f>
        <v>1680</v>
      </c>
    </row>
    <row r="887" customFormat="false" ht="12.8" hidden="false" customHeight="false" outlineLevel="0" collapsed="false">
      <c r="A887" s="2" t="s">
        <v>262</v>
      </c>
      <c r="B887" s="2" t="s">
        <v>264</v>
      </c>
      <c r="C887" s="2" t="s">
        <v>219</v>
      </c>
      <c r="D887" s="2" t="n">
        <v>377</v>
      </c>
      <c r="E887" s="2" t="n">
        <v>0</v>
      </c>
      <c r="F887" s="2" t="n">
        <v>352</v>
      </c>
      <c r="G887" s="2" t="n">
        <v>258</v>
      </c>
      <c r="H887" s="2" t="n">
        <v>721</v>
      </c>
      <c r="I887" s="2" t="n">
        <v>677</v>
      </c>
      <c r="J887" s="2" t="n">
        <v>109</v>
      </c>
      <c r="K887" s="2" t="n">
        <v>747</v>
      </c>
      <c r="L887" s="2" t="n">
        <v>0</v>
      </c>
      <c r="M887" s="2" t="n">
        <v>154</v>
      </c>
      <c r="N887" s="2" t="n">
        <v>510</v>
      </c>
      <c r="O887" s="2" t="n">
        <v>343</v>
      </c>
      <c r="Q887" s="2" t="n">
        <f aca="false">F887+G887+H887</f>
        <v>1331</v>
      </c>
    </row>
    <row r="888" customFormat="false" ht="12.8" hidden="false" customHeight="false" outlineLevel="0" collapsed="false">
      <c r="A888" s="2" t="s">
        <v>262</v>
      </c>
      <c r="B888" s="2" t="s">
        <v>264</v>
      </c>
      <c r="C888" s="2" t="s">
        <v>220</v>
      </c>
      <c r="D888" s="2" t="n">
        <v>397</v>
      </c>
      <c r="E888" s="2" t="n">
        <v>0</v>
      </c>
      <c r="F888" s="2" t="n">
        <v>325</v>
      </c>
      <c r="G888" s="2" t="n">
        <v>247</v>
      </c>
      <c r="H888" s="2" t="n">
        <v>670</v>
      </c>
      <c r="I888" s="2" t="n">
        <v>684</v>
      </c>
      <c r="J888" s="2" t="n">
        <v>82</v>
      </c>
      <c r="K888" s="2" t="n">
        <v>752</v>
      </c>
      <c r="L888" s="2" t="n">
        <v>0</v>
      </c>
      <c r="M888" s="2" t="n">
        <v>93</v>
      </c>
      <c r="N888" s="2" t="n">
        <v>441</v>
      </c>
      <c r="O888" s="2" t="n">
        <v>268</v>
      </c>
      <c r="Q888" s="2" t="n">
        <f aca="false">F888+G888+H888</f>
        <v>1242</v>
      </c>
    </row>
    <row r="889" customFormat="false" ht="12.8" hidden="false" customHeight="false" outlineLevel="0" collapsed="false">
      <c r="A889" s="2" t="s">
        <v>262</v>
      </c>
      <c r="B889" s="2" t="s">
        <v>264</v>
      </c>
      <c r="C889" s="2" t="s">
        <v>221</v>
      </c>
      <c r="D889" s="2" t="n">
        <v>417</v>
      </c>
      <c r="E889" s="2" t="n">
        <v>0</v>
      </c>
      <c r="F889" s="2" t="n">
        <v>282</v>
      </c>
      <c r="G889" s="2" t="n">
        <v>285</v>
      </c>
      <c r="H889" s="2" t="n">
        <v>775</v>
      </c>
      <c r="I889" s="2" t="n">
        <v>750</v>
      </c>
      <c r="J889" s="2" t="n">
        <v>82</v>
      </c>
      <c r="K889" s="2" t="n">
        <v>731</v>
      </c>
      <c r="L889" s="2" t="n">
        <v>0</v>
      </c>
      <c r="M889" s="2" t="n">
        <v>134</v>
      </c>
      <c r="N889" s="2" t="n">
        <v>414</v>
      </c>
      <c r="O889" s="2" t="n">
        <v>385</v>
      </c>
      <c r="Q889" s="2" t="n">
        <f aca="false">F889+G889+H889</f>
        <v>1342</v>
      </c>
    </row>
    <row r="890" customFormat="false" ht="12.8" hidden="false" customHeight="false" outlineLevel="0" collapsed="false">
      <c r="A890" s="2" t="s">
        <v>262</v>
      </c>
      <c r="B890" s="2" t="s">
        <v>264</v>
      </c>
      <c r="C890" s="2" t="s">
        <v>222</v>
      </c>
      <c r="D890" s="2" t="n">
        <v>515</v>
      </c>
      <c r="E890" s="2" t="n">
        <v>0</v>
      </c>
      <c r="F890" s="2" t="n">
        <v>394</v>
      </c>
      <c r="G890" s="2" t="n">
        <v>362</v>
      </c>
      <c r="H890" s="2" t="n">
        <v>934</v>
      </c>
      <c r="I890" s="2" t="n">
        <v>1028</v>
      </c>
      <c r="J890" s="2" t="n">
        <v>69</v>
      </c>
      <c r="K890" s="2" t="n">
        <v>987</v>
      </c>
      <c r="L890" s="2" t="n">
        <v>0</v>
      </c>
      <c r="M890" s="2" t="n">
        <v>130</v>
      </c>
      <c r="N890" s="2" t="n">
        <v>575</v>
      </c>
      <c r="O890" s="2" t="n">
        <v>551</v>
      </c>
      <c r="Q890" s="2" t="n">
        <f aca="false">F890+G890+H890</f>
        <v>1690</v>
      </c>
    </row>
    <row r="891" customFormat="false" ht="12.8" hidden="false" customHeight="false" outlineLevel="0" collapsed="false">
      <c r="A891" s="2" t="s">
        <v>262</v>
      </c>
      <c r="B891" s="2" t="s">
        <v>264</v>
      </c>
      <c r="C891" s="2" t="s">
        <v>223</v>
      </c>
      <c r="D891" s="2" t="n">
        <v>541</v>
      </c>
      <c r="E891" s="2" t="n">
        <v>0</v>
      </c>
      <c r="F891" s="2" t="n">
        <v>375</v>
      </c>
      <c r="G891" s="2" t="n">
        <v>422</v>
      </c>
      <c r="H891" s="2" t="n">
        <v>989</v>
      </c>
      <c r="I891" s="2" t="n">
        <v>1038</v>
      </c>
      <c r="J891" s="2" t="n">
        <v>65</v>
      </c>
      <c r="K891" s="2" t="n">
        <v>1219</v>
      </c>
      <c r="L891" s="2" t="n">
        <v>0</v>
      </c>
      <c r="M891" s="2" t="n">
        <v>154</v>
      </c>
      <c r="N891" s="2" t="n">
        <v>917</v>
      </c>
      <c r="O891" s="2" t="n">
        <v>574</v>
      </c>
      <c r="Q891" s="2" t="n">
        <f aca="false">F891+G891+H891</f>
        <v>1786</v>
      </c>
    </row>
    <row r="892" customFormat="false" ht="12.8" hidden="false" customHeight="false" outlineLevel="0" collapsed="false">
      <c r="A892" s="2" t="s">
        <v>262</v>
      </c>
      <c r="B892" s="2" t="s">
        <v>264</v>
      </c>
      <c r="C892" s="2" t="s">
        <v>224</v>
      </c>
      <c r="D892" s="2" t="n">
        <v>639</v>
      </c>
      <c r="E892" s="2" t="n">
        <v>0</v>
      </c>
      <c r="F892" s="2" t="n">
        <v>351</v>
      </c>
      <c r="G892" s="2" t="n">
        <v>468</v>
      </c>
      <c r="H892" s="2" t="n">
        <v>1122</v>
      </c>
      <c r="I892" s="2" t="n">
        <v>1199</v>
      </c>
      <c r="J892" s="2" t="n">
        <v>14</v>
      </c>
      <c r="K892" s="2" t="n">
        <v>1584</v>
      </c>
      <c r="L892" s="2" t="n">
        <v>0</v>
      </c>
      <c r="M892" s="2" t="n">
        <v>138</v>
      </c>
      <c r="N892" s="2" t="n">
        <v>1245</v>
      </c>
      <c r="O892" s="2" t="n">
        <v>741</v>
      </c>
      <c r="Q892" s="2" t="n">
        <f aca="false">F892+G892+H892</f>
        <v>1941</v>
      </c>
    </row>
    <row r="893" customFormat="false" ht="12.8" hidden="false" customHeight="false" outlineLevel="0" collapsed="false">
      <c r="A893" s="2" t="s">
        <v>263</v>
      </c>
      <c r="B893" s="2" t="s">
        <v>264</v>
      </c>
      <c r="C893" s="2" t="s">
        <v>212</v>
      </c>
      <c r="D893" s="2" t="n">
        <v>1171</v>
      </c>
      <c r="E893" s="2" t="n">
        <v>0</v>
      </c>
      <c r="F893" s="2" t="n">
        <v>116</v>
      </c>
      <c r="G893" s="2" t="n">
        <v>455</v>
      </c>
      <c r="H893" s="2" t="n">
        <v>1014</v>
      </c>
      <c r="I893" s="2" t="n">
        <v>1163</v>
      </c>
      <c r="J893" s="2" t="n">
        <v>116</v>
      </c>
      <c r="K893" s="2" t="n">
        <v>1104</v>
      </c>
      <c r="L893" s="2" t="n">
        <v>0</v>
      </c>
      <c r="M893" s="2" t="n">
        <v>96</v>
      </c>
      <c r="N893" s="2" t="n">
        <v>285</v>
      </c>
      <c r="O893" s="2" t="n">
        <v>798</v>
      </c>
      <c r="Q893" s="2" t="n">
        <f aca="false">F893+G893+H893</f>
        <v>1585</v>
      </c>
    </row>
    <row r="894" customFormat="false" ht="12.8" hidden="false" customHeight="false" outlineLevel="0" collapsed="false">
      <c r="A894" s="2" t="s">
        <v>263</v>
      </c>
      <c r="B894" s="2" t="s">
        <v>264</v>
      </c>
      <c r="C894" s="2" t="s">
        <v>217</v>
      </c>
      <c r="D894" s="2" t="n">
        <v>1104</v>
      </c>
      <c r="E894" s="2" t="n">
        <v>0</v>
      </c>
      <c r="F894" s="2" t="n">
        <v>138</v>
      </c>
      <c r="G894" s="2" t="n">
        <v>509</v>
      </c>
      <c r="H894" s="2" t="n">
        <v>1308</v>
      </c>
      <c r="I894" s="2" t="n">
        <v>1394</v>
      </c>
      <c r="J894" s="2" t="n">
        <v>138</v>
      </c>
      <c r="K894" s="2" t="n">
        <v>1331</v>
      </c>
      <c r="L894" s="2" t="n">
        <v>0</v>
      </c>
      <c r="M894" s="2" t="n">
        <v>166</v>
      </c>
      <c r="N894" s="2" t="n">
        <v>387</v>
      </c>
      <c r="O894" s="2" t="n">
        <v>1042</v>
      </c>
      <c r="Q894" s="2" t="n">
        <f aca="false">F894+G894+H894</f>
        <v>1955</v>
      </c>
    </row>
    <row r="895" customFormat="false" ht="12.8" hidden="false" customHeight="false" outlineLevel="0" collapsed="false">
      <c r="A895" s="2" t="s">
        <v>263</v>
      </c>
      <c r="B895" s="2" t="s">
        <v>264</v>
      </c>
      <c r="C895" s="2" t="s">
        <v>218</v>
      </c>
      <c r="D895" s="2" t="n">
        <v>857</v>
      </c>
      <c r="E895" s="2" t="n">
        <v>0</v>
      </c>
      <c r="F895" s="2" t="n">
        <v>109</v>
      </c>
      <c r="G895" s="2" t="n">
        <v>486</v>
      </c>
      <c r="H895" s="2" t="n">
        <v>1206</v>
      </c>
      <c r="I895" s="2" t="n">
        <v>1196</v>
      </c>
      <c r="J895" s="2" t="n">
        <v>109</v>
      </c>
      <c r="K895" s="2" t="n">
        <v>1179</v>
      </c>
      <c r="L895" s="2" t="n">
        <v>0</v>
      </c>
      <c r="M895" s="2" t="n">
        <v>202</v>
      </c>
      <c r="N895" s="2" t="n">
        <v>339</v>
      </c>
      <c r="O895" s="2" t="n">
        <v>844</v>
      </c>
      <c r="Q895" s="2" t="n">
        <f aca="false">F895+G895+H895</f>
        <v>1801</v>
      </c>
    </row>
    <row r="896" customFormat="false" ht="12.8" hidden="false" customHeight="false" outlineLevel="0" collapsed="false">
      <c r="A896" s="2" t="s">
        <v>263</v>
      </c>
      <c r="B896" s="2" t="s">
        <v>264</v>
      </c>
      <c r="C896" s="2" t="s">
        <v>219</v>
      </c>
      <c r="D896" s="2" t="n">
        <v>773</v>
      </c>
      <c r="E896" s="2" t="n">
        <v>0</v>
      </c>
      <c r="F896" s="2" t="n">
        <v>89</v>
      </c>
      <c r="G896" s="2" t="n">
        <v>496</v>
      </c>
      <c r="H896" s="2" t="n">
        <v>1153</v>
      </c>
      <c r="I896" s="2" t="n">
        <v>983</v>
      </c>
      <c r="J896" s="2" t="n">
        <v>89</v>
      </c>
      <c r="K896" s="2" t="n">
        <v>1267</v>
      </c>
      <c r="L896" s="2" t="n">
        <v>0</v>
      </c>
      <c r="M896" s="2" t="n">
        <v>209</v>
      </c>
      <c r="N896" s="2" t="n">
        <v>252</v>
      </c>
      <c r="O896" s="2" t="n">
        <v>1022</v>
      </c>
      <c r="Q896" s="2" t="n">
        <f aca="false">F896+G896+H896</f>
        <v>1738</v>
      </c>
    </row>
    <row r="897" customFormat="false" ht="12.8" hidden="false" customHeight="false" outlineLevel="0" collapsed="false">
      <c r="A897" s="2" t="s">
        <v>263</v>
      </c>
      <c r="B897" s="2" t="s">
        <v>264</v>
      </c>
      <c r="C897" s="2" t="s">
        <v>220</v>
      </c>
      <c r="D897" s="2" t="n">
        <v>704</v>
      </c>
      <c r="E897" s="2" t="n">
        <v>0</v>
      </c>
      <c r="F897" s="2" t="n">
        <v>72</v>
      </c>
      <c r="G897" s="2" t="n">
        <v>463</v>
      </c>
      <c r="H897" s="2" t="n">
        <v>1067</v>
      </c>
      <c r="I897" s="2" t="n">
        <v>797</v>
      </c>
      <c r="J897" s="2" t="n">
        <v>72</v>
      </c>
      <c r="K897" s="2" t="n">
        <v>1186</v>
      </c>
      <c r="L897" s="2" t="n">
        <v>0</v>
      </c>
      <c r="M897" s="2" t="n">
        <v>188</v>
      </c>
      <c r="N897" s="2" t="n">
        <v>260</v>
      </c>
      <c r="O897" s="2" t="n">
        <v>761</v>
      </c>
      <c r="Q897" s="2" t="n">
        <f aca="false">F897+G897+H897</f>
        <v>1602</v>
      </c>
    </row>
    <row r="898" customFormat="false" ht="12.8" hidden="false" customHeight="false" outlineLevel="0" collapsed="false">
      <c r="A898" s="2" t="s">
        <v>263</v>
      </c>
      <c r="B898" s="2" t="s">
        <v>264</v>
      </c>
      <c r="C898" s="2" t="s">
        <v>221</v>
      </c>
      <c r="D898" s="2" t="n">
        <v>619</v>
      </c>
      <c r="E898" s="2" t="n">
        <v>0</v>
      </c>
      <c r="F898" s="2" t="n">
        <v>100</v>
      </c>
      <c r="G898" s="2" t="n">
        <v>410</v>
      </c>
      <c r="H898" s="2" t="n">
        <v>995</v>
      </c>
      <c r="I898" s="2" t="n">
        <v>624</v>
      </c>
      <c r="J898" s="2" t="n">
        <v>100</v>
      </c>
      <c r="K898" s="2" t="n">
        <v>1085</v>
      </c>
      <c r="L898" s="2" t="n">
        <v>0</v>
      </c>
      <c r="M898" s="2" t="n">
        <v>234</v>
      </c>
      <c r="N898" s="2" t="n">
        <v>290</v>
      </c>
      <c r="O898" s="2" t="n">
        <v>760</v>
      </c>
      <c r="Q898" s="2" t="n">
        <f aca="false">F898+G898+H898</f>
        <v>1505</v>
      </c>
    </row>
    <row r="899" customFormat="false" ht="12.8" hidden="false" customHeight="false" outlineLevel="0" collapsed="false">
      <c r="A899" s="2" t="s">
        <v>263</v>
      </c>
      <c r="B899" s="2" t="s">
        <v>264</v>
      </c>
      <c r="C899" s="2" t="s">
        <v>222</v>
      </c>
      <c r="D899" s="2" t="n">
        <v>874</v>
      </c>
      <c r="E899" s="2" t="n">
        <v>0</v>
      </c>
      <c r="F899" s="2" t="n">
        <v>109</v>
      </c>
      <c r="G899" s="2" t="n">
        <v>592</v>
      </c>
      <c r="H899" s="2" t="n">
        <v>1322</v>
      </c>
      <c r="I899" s="2" t="n">
        <v>1151</v>
      </c>
      <c r="J899" s="2" t="n">
        <v>0</v>
      </c>
      <c r="K899" s="2" t="n">
        <v>1542</v>
      </c>
      <c r="L899" s="2" t="n">
        <v>0</v>
      </c>
      <c r="M899" s="2" t="n">
        <v>258</v>
      </c>
      <c r="N899" s="2" t="n">
        <v>333</v>
      </c>
      <c r="O899" s="2" t="n">
        <v>938</v>
      </c>
      <c r="Q899" s="2" t="n">
        <f aca="false">F899+G899+H899</f>
        <v>2023</v>
      </c>
    </row>
    <row r="900" customFormat="false" ht="12.8" hidden="false" customHeight="false" outlineLevel="0" collapsed="false">
      <c r="A900" s="2" t="s">
        <v>263</v>
      </c>
      <c r="B900" s="2" t="s">
        <v>264</v>
      </c>
      <c r="C900" s="2" t="s">
        <v>223</v>
      </c>
      <c r="D900" s="2" t="n">
        <v>749</v>
      </c>
      <c r="E900" s="2" t="n">
        <v>0</v>
      </c>
      <c r="F900" s="2" t="n">
        <v>186</v>
      </c>
      <c r="G900" s="2" t="n">
        <v>493</v>
      </c>
      <c r="H900" s="2" t="n">
        <v>1269</v>
      </c>
      <c r="I900" s="2" t="n">
        <v>1185</v>
      </c>
      <c r="J900" s="2" t="n">
        <v>0</v>
      </c>
      <c r="K900" s="2" t="n">
        <v>1375</v>
      </c>
      <c r="L900" s="2" t="n">
        <v>0</v>
      </c>
      <c r="M900" s="2" t="n">
        <v>217</v>
      </c>
      <c r="N900" s="2" t="n">
        <v>302</v>
      </c>
      <c r="O900" s="2" t="n">
        <v>826</v>
      </c>
      <c r="Q900" s="2" t="n">
        <f aca="false">F900+G900+H900</f>
        <v>1948</v>
      </c>
    </row>
    <row r="901" customFormat="false" ht="12.8" hidden="false" customHeight="false" outlineLevel="0" collapsed="false">
      <c r="A901" s="2" t="s">
        <v>263</v>
      </c>
      <c r="B901" s="2" t="s">
        <v>264</v>
      </c>
      <c r="C901" s="2" t="s">
        <v>224</v>
      </c>
      <c r="D901" s="2" t="n">
        <v>911</v>
      </c>
      <c r="E901" s="2" t="n">
        <v>0</v>
      </c>
      <c r="F901" s="2" t="n">
        <v>205</v>
      </c>
      <c r="G901" s="2" t="n">
        <v>646</v>
      </c>
      <c r="H901" s="2" t="n">
        <v>1231</v>
      </c>
      <c r="I901" s="2" t="n">
        <v>1180</v>
      </c>
      <c r="J901" s="2" t="n">
        <v>0</v>
      </c>
      <c r="K901" s="2" t="n">
        <v>1492</v>
      </c>
      <c r="L901" s="2" t="n">
        <v>0</v>
      </c>
      <c r="M901" s="2" t="n">
        <v>243</v>
      </c>
      <c r="N901" s="2" t="n">
        <v>362</v>
      </c>
      <c r="O901" s="2" t="n">
        <v>907</v>
      </c>
      <c r="Q901" s="2" t="n">
        <f aca="false">F901+G901+H901</f>
        <v>2082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4555</TotalTime>
  <Application>LibreOffice/26.2.3.2$MacOSX_AARCH64 LibreOffice_project/70e089b17412e4cb7773e41413306b17a2328c34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2024-02-17T07:37:54Z</dcterms:created>
  <dc:creator/>
  <dc:description/>
  <dc:language>en-CA</dc:language>
  <cp:lastModifiedBy/>
  <cp:lastPrinted>2026-05-08T15:48:55Z</cp:lastPrinted>
  <dcterms:modified xsi:type="dcterms:W3CDTF">2026-06-04T13:20:05Z</dcterms:modified>
  <cp:revision>465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